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662BA908-65DD-45A4-B1C8-C38D5221FED0}"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028" i="1" l="1"/>
  <c r="C4027" i="1"/>
  <c r="C4026" i="1"/>
  <c r="C4025" i="1"/>
  <c r="C4024" i="1"/>
  <c r="C4023" i="1"/>
  <c r="C4022" i="1"/>
  <c r="C4021" i="1"/>
  <c r="C4020" i="1"/>
  <c r="C4019" i="1"/>
  <c r="C4018" i="1"/>
  <c r="C4017" i="1"/>
  <c r="C4016" i="1"/>
  <c r="C4015" i="1"/>
  <c r="C4014" i="1"/>
  <c r="C4013" i="1"/>
  <c r="C4012" i="1"/>
  <c r="C4011" i="1"/>
  <c r="C4010" i="1"/>
  <c r="C4009" i="1"/>
  <c r="C4008" i="1"/>
  <c r="C4007" i="1"/>
  <c r="C4006" i="1"/>
  <c r="C4005" i="1"/>
  <c r="C4004" i="1"/>
  <c r="C4003" i="1"/>
  <c r="C4002" i="1"/>
  <c r="C4001" i="1"/>
  <c r="C4000" i="1"/>
  <c r="C3999" i="1"/>
  <c r="C3998" i="1"/>
  <c r="C3997" i="1"/>
  <c r="C3996" i="1"/>
  <c r="C3995" i="1"/>
  <c r="C3994" i="1"/>
  <c r="C3993" i="1"/>
  <c r="C3992" i="1"/>
  <c r="C3991" i="1"/>
  <c r="C3990" i="1"/>
  <c r="C3989" i="1"/>
  <c r="C3988" i="1"/>
  <c r="C3987" i="1"/>
  <c r="C3986" i="1"/>
  <c r="C3985" i="1"/>
  <c r="C3984" i="1"/>
  <c r="C3983" i="1"/>
  <c r="C3982" i="1"/>
  <c r="C3981" i="1"/>
  <c r="C3980" i="1"/>
  <c r="C3979" i="1"/>
  <c r="C3978" i="1"/>
  <c r="C3977" i="1"/>
  <c r="C3976" i="1"/>
  <c r="C3975" i="1"/>
  <c r="C3974" i="1"/>
  <c r="C3973" i="1"/>
  <c r="C3972" i="1"/>
  <c r="C3971" i="1"/>
  <c r="C3970" i="1"/>
  <c r="C3969" i="1"/>
  <c r="C3968" i="1"/>
  <c r="C3967" i="1"/>
  <c r="C3966" i="1"/>
  <c r="C3965" i="1"/>
  <c r="C3964" i="1"/>
  <c r="C3963" i="1"/>
  <c r="C3962" i="1"/>
  <c r="C3961" i="1"/>
  <c r="C3960" i="1"/>
  <c r="C3959" i="1"/>
  <c r="C3958" i="1"/>
  <c r="C3957" i="1"/>
  <c r="C3956" i="1"/>
  <c r="C3955" i="1"/>
  <c r="C3954" i="1"/>
  <c r="C3953" i="1"/>
  <c r="C3952" i="1"/>
  <c r="C3951" i="1"/>
  <c r="C3950" i="1"/>
  <c r="C3949" i="1"/>
  <c r="C3948" i="1"/>
  <c r="C3947" i="1"/>
  <c r="C3946" i="1"/>
  <c r="C3945" i="1"/>
  <c r="C3944" i="1"/>
  <c r="C3943" i="1"/>
  <c r="C3942" i="1"/>
  <c r="C3941" i="1"/>
  <c r="C3940" i="1"/>
  <c r="C3939" i="1"/>
  <c r="C3938" i="1"/>
  <c r="C3937" i="1"/>
  <c r="C3936" i="1"/>
  <c r="C3935" i="1"/>
  <c r="C3934" i="1"/>
  <c r="C3933" i="1"/>
  <c r="C3932" i="1"/>
  <c r="C3931" i="1"/>
  <c r="C3930" i="1"/>
  <c r="C3929" i="1"/>
  <c r="C3928" i="1"/>
  <c r="C3927" i="1"/>
  <c r="C3926" i="1"/>
  <c r="C3925" i="1"/>
  <c r="C3924" i="1"/>
  <c r="C3923" i="1"/>
  <c r="C3922" i="1"/>
  <c r="C3921" i="1"/>
  <c r="C3920" i="1"/>
  <c r="C3919" i="1"/>
  <c r="C3918" i="1"/>
  <c r="C3917" i="1"/>
  <c r="C3916" i="1"/>
  <c r="C3915" i="1"/>
  <c r="C3914" i="1"/>
  <c r="C3913" i="1"/>
  <c r="C3912" i="1"/>
  <c r="C3911" i="1"/>
  <c r="C3910" i="1"/>
  <c r="C3909" i="1"/>
  <c r="C3908" i="1"/>
  <c r="C3907" i="1"/>
  <c r="C3906" i="1"/>
  <c r="C3905" i="1"/>
  <c r="C3904" i="1"/>
  <c r="C3903" i="1"/>
  <c r="C3902" i="1"/>
  <c r="C3901" i="1"/>
  <c r="C3900" i="1"/>
  <c r="C3899" i="1"/>
  <c r="C3898" i="1"/>
  <c r="C3897" i="1"/>
  <c r="C3896" i="1"/>
  <c r="C3895" i="1"/>
  <c r="C3894" i="1"/>
  <c r="C3893" i="1"/>
  <c r="C3892" i="1"/>
  <c r="C3891" i="1"/>
  <c r="C3890" i="1"/>
  <c r="C3889" i="1"/>
  <c r="C3888" i="1"/>
  <c r="C3887" i="1"/>
  <c r="C3886" i="1"/>
  <c r="C3885" i="1"/>
  <c r="C3884" i="1"/>
  <c r="C3883" i="1"/>
  <c r="C3882" i="1"/>
  <c r="C3881" i="1"/>
  <c r="C3880" i="1"/>
  <c r="C3879" i="1"/>
  <c r="C3878" i="1"/>
  <c r="C3877" i="1"/>
  <c r="C3876" i="1"/>
  <c r="C3875" i="1"/>
  <c r="C3874" i="1"/>
  <c r="C3873" i="1"/>
  <c r="C3872" i="1"/>
  <c r="C3871" i="1"/>
  <c r="C3870" i="1"/>
  <c r="C3869" i="1"/>
  <c r="C3868" i="1"/>
  <c r="C3867" i="1"/>
  <c r="C3866" i="1"/>
  <c r="C3865" i="1"/>
  <c r="C3864" i="1"/>
  <c r="C3863" i="1"/>
  <c r="C3862" i="1"/>
  <c r="C3861" i="1"/>
  <c r="C3860" i="1"/>
  <c r="C3859" i="1"/>
  <c r="C3858" i="1"/>
  <c r="C3857" i="1"/>
  <c r="C3856" i="1"/>
  <c r="C3855" i="1"/>
  <c r="C3854" i="1"/>
  <c r="C3853" i="1"/>
  <c r="C3852" i="1"/>
  <c r="C3851" i="1"/>
  <c r="C3850" i="1"/>
  <c r="C3849" i="1"/>
  <c r="C3848" i="1"/>
  <c r="C3847" i="1"/>
  <c r="C3846" i="1"/>
  <c r="C3845" i="1"/>
  <c r="C3844" i="1"/>
  <c r="C3843" i="1"/>
  <c r="C3842" i="1"/>
  <c r="C3841" i="1"/>
  <c r="C3840" i="1"/>
  <c r="C3839" i="1"/>
  <c r="C3838" i="1"/>
  <c r="C3837" i="1"/>
  <c r="C3836" i="1"/>
  <c r="C3835" i="1"/>
  <c r="C3834" i="1"/>
  <c r="C3833" i="1"/>
  <c r="C3832" i="1"/>
  <c r="C3831" i="1"/>
  <c r="C3830" i="1"/>
  <c r="C3829" i="1"/>
  <c r="C3828" i="1"/>
  <c r="C3827" i="1"/>
  <c r="C3826" i="1"/>
  <c r="C3825" i="1"/>
  <c r="C3824" i="1"/>
  <c r="C3823" i="1"/>
  <c r="C3822" i="1"/>
  <c r="C3821" i="1"/>
  <c r="C3820" i="1"/>
  <c r="C3819" i="1"/>
  <c r="C3818" i="1"/>
  <c r="C3817" i="1"/>
  <c r="C3816" i="1"/>
  <c r="C3815" i="1"/>
  <c r="C3814" i="1"/>
  <c r="C3813" i="1"/>
  <c r="C3812" i="1"/>
  <c r="C3811" i="1"/>
  <c r="C3810" i="1"/>
  <c r="C3809" i="1"/>
  <c r="C3808" i="1"/>
  <c r="C3807" i="1"/>
  <c r="C3806" i="1"/>
  <c r="C3805" i="1"/>
  <c r="C3804" i="1"/>
  <c r="C3803" i="1"/>
  <c r="C3802" i="1"/>
  <c r="C3801" i="1"/>
  <c r="C3800" i="1"/>
  <c r="C3799" i="1"/>
  <c r="C3798" i="1"/>
  <c r="C3797" i="1"/>
  <c r="C3796" i="1"/>
  <c r="C3795" i="1"/>
  <c r="C3794" i="1"/>
  <c r="C3793" i="1"/>
  <c r="C3792" i="1"/>
  <c r="C3791" i="1"/>
  <c r="C3790" i="1"/>
  <c r="C3789" i="1"/>
  <c r="C3788" i="1"/>
  <c r="C3787" i="1"/>
  <c r="C3786" i="1"/>
  <c r="C3785" i="1"/>
  <c r="C3784" i="1"/>
  <c r="C3783" i="1"/>
  <c r="C3782" i="1"/>
  <c r="C3781" i="1"/>
  <c r="C3780" i="1"/>
  <c r="C3779" i="1"/>
  <c r="C3778" i="1"/>
  <c r="C3777" i="1"/>
  <c r="C3776" i="1"/>
  <c r="C3775" i="1"/>
  <c r="C3774" i="1"/>
  <c r="C3773" i="1"/>
  <c r="C3772" i="1"/>
  <c r="C3771" i="1"/>
  <c r="C3770" i="1"/>
  <c r="C3769" i="1"/>
  <c r="C3768" i="1"/>
  <c r="C3767" i="1"/>
  <c r="C3766" i="1"/>
  <c r="C3765" i="1"/>
  <c r="C3764" i="1"/>
  <c r="C3763" i="1"/>
  <c r="C3762" i="1"/>
  <c r="C3761" i="1"/>
  <c r="C3760" i="1"/>
  <c r="C3759" i="1"/>
  <c r="C3758" i="1"/>
  <c r="C3757" i="1"/>
  <c r="C3756" i="1"/>
  <c r="C3755" i="1"/>
  <c r="C3754" i="1"/>
  <c r="C3753" i="1"/>
  <c r="C3752" i="1"/>
  <c r="C3751" i="1"/>
  <c r="C3750" i="1"/>
  <c r="C3749" i="1"/>
  <c r="C3748" i="1"/>
  <c r="C3747" i="1"/>
  <c r="C3746" i="1"/>
  <c r="C3745" i="1"/>
  <c r="C3744" i="1"/>
  <c r="C3743" i="1"/>
  <c r="C3742" i="1"/>
  <c r="C3741" i="1"/>
  <c r="C3740" i="1"/>
  <c r="C3739" i="1"/>
  <c r="C3738" i="1"/>
  <c r="C3737" i="1"/>
  <c r="C3736" i="1"/>
  <c r="C3735" i="1"/>
  <c r="C3734" i="1"/>
  <c r="C3733" i="1"/>
  <c r="C3732" i="1"/>
  <c r="C3731" i="1"/>
  <c r="C3730" i="1"/>
  <c r="C3729" i="1"/>
  <c r="C3728" i="1"/>
  <c r="C3727" i="1"/>
  <c r="C3726" i="1"/>
  <c r="C3725" i="1"/>
  <c r="C3724" i="1"/>
  <c r="C3723" i="1"/>
  <c r="C3722" i="1"/>
  <c r="C3721" i="1"/>
  <c r="C3720" i="1"/>
  <c r="C3719" i="1"/>
  <c r="C3718" i="1"/>
  <c r="C3717" i="1"/>
  <c r="C3716" i="1"/>
  <c r="C3715" i="1"/>
  <c r="C3714" i="1"/>
  <c r="C3713" i="1"/>
  <c r="C3712" i="1"/>
  <c r="C3711" i="1"/>
  <c r="C3710" i="1"/>
  <c r="C3709" i="1"/>
  <c r="C3708" i="1"/>
  <c r="C3707" i="1"/>
  <c r="C3706" i="1"/>
  <c r="C3705" i="1"/>
  <c r="C3704" i="1"/>
  <c r="C3703" i="1"/>
  <c r="C3702" i="1"/>
  <c r="C3701" i="1"/>
  <c r="C3700" i="1"/>
  <c r="C3699" i="1"/>
  <c r="C3698" i="1"/>
  <c r="C3697" i="1"/>
  <c r="C3696" i="1"/>
  <c r="C3695" i="1"/>
  <c r="C3694" i="1"/>
  <c r="C3693" i="1"/>
  <c r="C3692" i="1"/>
  <c r="C3691" i="1"/>
  <c r="C3690" i="1"/>
  <c r="C3689" i="1"/>
  <c r="C3688" i="1"/>
  <c r="C3687" i="1"/>
  <c r="C3686" i="1"/>
  <c r="C3685" i="1"/>
  <c r="C3684" i="1"/>
  <c r="C3683" i="1"/>
  <c r="C3682" i="1"/>
  <c r="C3681" i="1"/>
  <c r="C3680" i="1"/>
  <c r="C3679" i="1"/>
  <c r="C3678" i="1"/>
  <c r="C3677" i="1"/>
  <c r="C3676" i="1"/>
  <c r="C3675" i="1"/>
  <c r="C3674" i="1"/>
  <c r="C3673" i="1"/>
  <c r="C3672" i="1"/>
  <c r="C3671" i="1"/>
  <c r="C3670" i="1"/>
  <c r="C3669" i="1"/>
  <c r="C3668" i="1"/>
  <c r="C3667" i="1"/>
  <c r="C3666" i="1"/>
  <c r="C3665" i="1"/>
  <c r="C3664" i="1"/>
  <c r="C3663" i="1"/>
  <c r="C3662" i="1"/>
  <c r="C3661" i="1"/>
  <c r="C3660" i="1"/>
  <c r="C3659" i="1"/>
  <c r="C3658" i="1"/>
  <c r="C3657" i="1"/>
  <c r="C3656" i="1"/>
  <c r="C3655" i="1"/>
  <c r="C3654" i="1"/>
  <c r="C3653" i="1"/>
  <c r="C3652" i="1"/>
  <c r="C3651" i="1"/>
  <c r="C3650" i="1"/>
  <c r="C3649" i="1"/>
  <c r="C3648" i="1"/>
  <c r="C3647" i="1"/>
  <c r="C3646" i="1"/>
  <c r="C3645" i="1"/>
  <c r="C3644" i="1"/>
  <c r="C3643" i="1"/>
  <c r="C3642" i="1"/>
  <c r="C3641" i="1"/>
  <c r="C3640" i="1"/>
  <c r="C3639" i="1"/>
  <c r="C3638" i="1"/>
  <c r="C3637" i="1"/>
  <c r="C3636" i="1"/>
  <c r="C3635" i="1"/>
  <c r="C3634" i="1"/>
  <c r="C3633" i="1"/>
  <c r="C3632" i="1"/>
  <c r="C3631" i="1"/>
  <c r="C3630" i="1"/>
  <c r="C3629" i="1"/>
  <c r="C3628" i="1"/>
  <c r="C3627" i="1"/>
  <c r="C3626" i="1"/>
  <c r="C3625" i="1"/>
  <c r="C3624" i="1"/>
  <c r="C3623" i="1"/>
  <c r="C3622" i="1"/>
  <c r="C3621" i="1"/>
  <c r="C3620" i="1"/>
  <c r="C3619" i="1"/>
  <c r="C3618" i="1"/>
  <c r="C3617" i="1"/>
  <c r="C3616" i="1"/>
  <c r="C3615" i="1"/>
  <c r="C3614" i="1"/>
  <c r="C3613" i="1"/>
  <c r="C3612" i="1"/>
  <c r="C3611" i="1"/>
  <c r="C3610" i="1"/>
  <c r="C3609" i="1"/>
  <c r="C3608" i="1"/>
  <c r="C3607" i="1"/>
  <c r="C3606" i="1"/>
  <c r="C3605" i="1"/>
  <c r="C3604" i="1"/>
  <c r="C3603" i="1"/>
  <c r="C3602" i="1"/>
  <c r="C3601" i="1"/>
  <c r="C3600" i="1"/>
  <c r="C3599" i="1"/>
  <c r="C3598" i="1"/>
  <c r="C3597" i="1"/>
  <c r="C3596" i="1"/>
  <c r="C3595" i="1"/>
  <c r="C3594" i="1"/>
  <c r="C3593" i="1"/>
  <c r="C3592" i="1"/>
  <c r="C3591" i="1"/>
  <c r="C3590" i="1"/>
  <c r="C3589" i="1"/>
  <c r="C3588" i="1"/>
  <c r="C3587" i="1"/>
  <c r="C3586" i="1"/>
  <c r="C3585" i="1"/>
  <c r="C3584" i="1"/>
  <c r="C3583" i="1"/>
  <c r="C3582" i="1"/>
  <c r="C3581" i="1"/>
  <c r="C3580" i="1"/>
  <c r="C3579" i="1"/>
  <c r="C3578" i="1"/>
  <c r="C3577" i="1"/>
  <c r="C3576" i="1"/>
  <c r="C3575" i="1"/>
  <c r="C3574" i="1"/>
  <c r="C3573" i="1"/>
  <c r="C3572" i="1"/>
  <c r="C3571" i="1"/>
  <c r="C3570" i="1"/>
  <c r="C3569" i="1"/>
  <c r="C3568" i="1"/>
  <c r="C3567" i="1"/>
  <c r="C3566" i="1"/>
  <c r="C3565" i="1"/>
  <c r="C3564" i="1"/>
  <c r="C3563" i="1"/>
  <c r="C3562" i="1"/>
  <c r="C3561" i="1"/>
  <c r="C3560" i="1"/>
  <c r="C3559" i="1"/>
  <c r="C3558" i="1"/>
  <c r="C3557" i="1"/>
  <c r="C3556" i="1"/>
  <c r="C3555" i="1"/>
  <c r="C3554" i="1"/>
  <c r="C3553" i="1"/>
  <c r="C3552" i="1"/>
  <c r="C3551" i="1"/>
  <c r="C3550" i="1"/>
  <c r="C3549" i="1"/>
  <c r="C3548" i="1"/>
  <c r="C3547" i="1"/>
  <c r="C3546" i="1"/>
  <c r="C3545" i="1"/>
  <c r="C3544" i="1"/>
  <c r="C3543" i="1"/>
  <c r="C3542" i="1"/>
  <c r="C3541" i="1"/>
  <c r="C3540" i="1"/>
  <c r="C3539" i="1"/>
  <c r="C3538" i="1"/>
  <c r="C3537" i="1"/>
  <c r="C3536" i="1"/>
  <c r="C3535" i="1"/>
  <c r="C3534" i="1"/>
  <c r="C3533" i="1"/>
  <c r="C3532" i="1"/>
  <c r="C3531" i="1"/>
  <c r="C3530" i="1"/>
  <c r="C3529" i="1"/>
  <c r="C3528" i="1"/>
  <c r="C3527" i="1"/>
  <c r="C3526" i="1"/>
  <c r="C3525" i="1"/>
  <c r="C3524" i="1"/>
  <c r="C3523" i="1"/>
  <c r="C3522" i="1"/>
  <c r="C3521" i="1"/>
  <c r="C3520" i="1"/>
  <c r="C3519" i="1"/>
  <c r="C3518" i="1"/>
  <c r="C3517" i="1"/>
  <c r="C3516" i="1"/>
  <c r="C3515" i="1"/>
  <c r="C3514" i="1"/>
  <c r="C3513" i="1"/>
  <c r="C3512" i="1"/>
  <c r="C3511" i="1"/>
  <c r="C3510" i="1"/>
  <c r="C3509" i="1"/>
  <c r="C3508" i="1"/>
  <c r="C3507" i="1"/>
  <c r="C3506" i="1"/>
  <c r="C3505" i="1"/>
  <c r="C3504" i="1"/>
  <c r="C3503" i="1"/>
  <c r="C3502" i="1"/>
  <c r="C3501" i="1"/>
  <c r="C3500" i="1"/>
  <c r="C3499" i="1"/>
  <c r="C3498" i="1"/>
  <c r="C3497" i="1"/>
  <c r="C3496" i="1"/>
  <c r="C3495" i="1"/>
  <c r="C3494" i="1"/>
  <c r="C3493" i="1"/>
  <c r="C3492" i="1"/>
  <c r="C3491" i="1"/>
  <c r="C3490" i="1"/>
  <c r="C3489" i="1"/>
  <c r="C3488" i="1"/>
  <c r="C3487" i="1"/>
  <c r="C3486" i="1"/>
  <c r="C3485" i="1"/>
  <c r="C3484" i="1"/>
  <c r="C3483" i="1"/>
  <c r="C3482" i="1"/>
  <c r="C3481" i="1"/>
  <c r="C3480" i="1"/>
  <c r="C3479" i="1"/>
  <c r="C3478" i="1"/>
  <c r="C3477" i="1"/>
  <c r="C3476" i="1"/>
  <c r="C3475" i="1"/>
  <c r="C3474" i="1"/>
  <c r="C3473" i="1"/>
  <c r="C3472" i="1"/>
  <c r="C3471" i="1"/>
  <c r="C3470" i="1"/>
  <c r="C3469" i="1"/>
  <c r="C3468" i="1"/>
  <c r="C3467" i="1"/>
  <c r="C3466" i="1"/>
  <c r="C3465" i="1"/>
  <c r="C3464" i="1"/>
  <c r="C3463" i="1"/>
  <c r="C3462" i="1"/>
  <c r="C3461" i="1"/>
  <c r="C3460" i="1"/>
  <c r="C3459" i="1"/>
  <c r="C3458" i="1"/>
  <c r="C3457" i="1"/>
  <c r="C3456" i="1"/>
  <c r="C3455" i="1"/>
  <c r="C3454" i="1"/>
  <c r="C3453" i="1"/>
  <c r="C3452" i="1"/>
  <c r="C3451" i="1"/>
  <c r="C3450" i="1"/>
  <c r="C3449" i="1"/>
  <c r="C3448" i="1"/>
  <c r="C3447" i="1"/>
  <c r="C3446" i="1"/>
  <c r="C3445" i="1"/>
  <c r="C3444" i="1"/>
  <c r="C3443" i="1"/>
  <c r="C3442" i="1"/>
  <c r="C3441" i="1"/>
  <c r="C3440" i="1"/>
  <c r="C3439" i="1"/>
  <c r="C3438" i="1"/>
  <c r="C3437" i="1"/>
  <c r="C3436" i="1"/>
  <c r="C3435" i="1"/>
  <c r="C3434" i="1"/>
  <c r="C3433" i="1"/>
  <c r="C3432" i="1"/>
  <c r="C3431" i="1"/>
  <c r="C3430" i="1"/>
  <c r="C3429" i="1"/>
  <c r="C3428" i="1"/>
  <c r="C3427" i="1"/>
  <c r="C3426" i="1"/>
  <c r="C3425" i="1"/>
  <c r="C3424" i="1"/>
  <c r="C3423" i="1"/>
  <c r="C3422" i="1"/>
  <c r="C3421" i="1"/>
  <c r="C3420" i="1"/>
  <c r="C3419" i="1"/>
  <c r="C3418" i="1"/>
  <c r="C3417" i="1"/>
  <c r="C3416" i="1"/>
  <c r="C3415" i="1"/>
  <c r="C3414" i="1"/>
  <c r="C3413" i="1"/>
  <c r="C3412" i="1"/>
  <c r="C3411" i="1"/>
  <c r="C3410" i="1"/>
  <c r="C3409" i="1"/>
  <c r="C3408" i="1"/>
  <c r="C3407" i="1"/>
  <c r="C3406" i="1"/>
  <c r="C3405" i="1"/>
  <c r="C3404" i="1"/>
  <c r="C3403" i="1"/>
  <c r="C3402" i="1"/>
  <c r="C3401" i="1"/>
  <c r="C3400" i="1"/>
  <c r="C3399" i="1"/>
  <c r="C3398" i="1"/>
  <c r="C3397" i="1"/>
  <c r="C3396" i="1"/>
  <c r="C3395" i="1"/>
  <c r="C3394" i="1"/>
  <c r="C3393" i="1"/>
  <c r="C3392" i="1"/>
  <c r="C3391" i="1"/>
  <c r="C3390" i="1"/>
  <c r="C3389" i="1"/>
  <c r="C3388" i="1"/>
  <c r="C3387" i="1"/>
  <c r="C3386" i="1"/>
  <c r="C3385" i="1"/>
  <c r="C3384" i="1"/>
  <c r="C3383" i="1"/>
  <c r="C3382" i="1"/>
  <c r="C3381" i="1"/>
  <c r="C3380" i="1"/>
  <c r="C3379" i="1"/>
  <c r="C3378" i="1"/>
  <c r="C3377" i="1"/>
  <c r="C3376" i="1"/>
  <c r="C3375" i="1"/>
  <c r="C3374" i="1"/>
  <c r="C3373" i="1"/>
  <c r="C3372" i="1"/>
  <c r="C3371" i="1"/>
  <c r="C3370" i="1"/>
  <c r="C3369" i="1"/>
  <c r="C3368" i="1"/>
  <c r="C3367" i="1"/>
  <c r="C3366" i="1"/>
  <c r="C3365" i="1"/>
  <c r="C3364" i="1"/>
  <c r="C3363" i="1"/>
  <c r="C3362" i="1"/>
  <c r="C3361" i="1"/>
  <c r="C3360" i="1"/>
  <c r="C3359" i="1"/>
  <c r="C3358" i="1"/>
  <c r="C3357" i="1"/>
  <c r="C3356" i="1"/>
  <c r="C3355" i="1"/>
  <c r="C3354" i="1"/>
  <c r="C3353" i="1"/>
  <c r="C3352" i="1"/>
  <c r="C3351" i="1"/>
  <c r="C3350" i="1"/>
  <c r="C3349" i="1"/>
  <c r="C3348" i="1"/>
  <c r="C3347" i="1"/>
  <c r="C3346" i="1"/>
  <c r="C3345" i="1"/>
  <c r="C3344" i="1"/>
  <c r="C3343" i="1"/>
  <c r="C3342" i="1"/>
  <c r="C3341" i="1"/>
  <c r="C3340" i="1"/>
  <c r="C3339" i="1"/>
  <c r="C3338" i="1"/>
  <c r="C3337" i="1"/>
  <c r="C3336" i="1"/>
  <c r="C3335" i="1"/>
  <c r="C3334" i="1"/>
  <c r="C3333" i="1"/>
  <c r="C3332" i="1"/>
  <c r="C3331" i="1"/>
  <c r="C3330" i="1"/>
  <c r="C3329" i="1"/>
  <c r="C3328" i="1"/>
  <c r="C3327" i="1"/>
  <c r="C3326" i="1"/>
  <c r="C3325" i="1"/>
  <c r="C3324" i="1"/>
  <c r="C3323" i="1"/>
  <c r="C3322" i="1"/>
  <c r="C3321" i="1"/>
  <c r="C3320" i="1"/>
  <c r="C3319" i="1"/>
  <c r="C3318" i="1"/>
  <c r="C3317" i="1"/>
  <c r="C3316" i="1"/>
  <c r="C3315" i="1"/>
  <c r="C3314" i="1"/>
  <c r="C3313" i="1"/>
  <c r="C3312" i="1"/>
  <c r="C3311" i="1"/>
  <c r="C3310" i="1"/>
  <c r="C3309" i="1"/>
  <c r="C3308" i="1"/>
  <c r="C3307" i="1"/>
  <c r="C3306" i="1"/>
  <c r="C3305" i="1"/>
  <c r="C3304" i="1"/>
  <c r="C3303" i="1"/>
  <c r="C3302" i="1"/>
  <c r="C3301" i="1"/>
  <c r="C3300" i="1"/>
  <c r="C3299" i="1"/>
  <c r="C3298" i="1"/>
  <c r="C3297" i="1"/>
  <c r="C3296" i="1"/>
  <c r="C3295" i="1"/>
  <c r="C3294" i="1"/>
  <c r="C3293" i="1"/>
  <c r="C3292" i="1"/>
  <c r="C3291" i="1"/>
  <c r="C3290" i="1"/>
  <c r="C3289" i="1"/>
  <c r="C3288" i="1"/>
  <c r="C3287" i="1"/>
  <c r="C3286" i="1"/>
  <c r="C3285" i="1"/>
  <c r="C3284" i="1"/>
  <c r="C3283" i="1"/>
  <c r="C3282" i="1"/>
  <c r="C3281" i="1"/>
  <c r="C3280" i="1"/>
  <c r="C3279" i="1"/>
  <c r="C3278" i="1"/>
  <c r="C3277" i="1"/>
  <c r="C3276" i="1"/>
  <c r="C3275" i="1"/>
  <c r="C3274" i="1"/>
  <c r="C3273" i="1"/>
  <c r="C3272" i="1"/>
  <c r="C3271" i="1"/>
  <c r="C3270" i="1"/>
  <c r="C3269" i="1"/>
  <c r="C3268" i="1"/>
  <c r="C3267" i="1"/>
  <c r="C3266" i="1"/>
  <c r="C3265" i="1"/>
  <c r="C3264" i="1"/>
  <c r="C3263" i="1"/>
  <c r="C3262" i="1"/>
  <c r="C3261" i="1"/>
  <c r="C3260" i="1"/>
  <c r="C3259" i="1"/>
  <c r="C3258" i="1"/>
  <c r="C3257" i="1"/>
  <c r="C3256" i="1"/>
  <c r="C3255" i="1"/>
  <c r="C3254" i="1"/>
  <c r="C3253" i="1"/>
  <c r="C3252" i="1"/>
  <c r="C3251" i="1"/>
  <c r="C3250" i="1"/>
  <c r="C3249" i="1"/>
  <c r="C3248" i="1"/>
  <c r="C3247" i="1"/>
  <c r="C3246" i="1"/>
  <c r="C3245" i="1"/>
  <c r="C3244" i="1"/>
  <c r="C3243" i="1"/>
  <c r="C3242" i="1"/>
  <c r="C3241" i="1"/>
  <c r="C3240" i="1"/>
  <c r="C3239" i="1"/>
  <c r="C3238" i="1"/>
  <c r="C3237"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5"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<sst xmlns="http://schemas.openxmlformats.org/spreadsheetml/2006/main" count="8057" uniqueCount="4010">
  <si>
    <t>Final Annotation</t>
  </si>
  <si>
    <t>Text</t>
  </si>
  <si>
    <t>English Translation</t>
  </si>
  <si>
    <t>no aggression</t>
  </si>
  <si>
    <t>সুন্দর সমাজ গড়তে হলে ধর্মীয় শিক্ষা ও মানবিক মূল্যবোধ একসাথে থাকা দরকার।</t>
  </si>
  <si>
    <t>atrocity</t>
  </si>
  <si>
    <t>২০২০ সালের এপ্রিল মাসে এক ধর্মীয় গোষ্ঠী শিশু ও বৃদ্ধদের হত্যা করে, মৃতদেহ নদীতে ফেলা হয়, এতে ৩৪ জন নিহত হয়।</t>
  </si>
  <si>
    <t>আমি জান্নাতে হারিয়ে যেতে চাই। হে আল্লাহ, আমি জান্নাতের পাখি হয়ে গোটা জান্নাত ঘুরে বেড়াতে চাই। তার জন্য আমাকে সঠিক পথে পরিচালিত করো</t>
  </si>
  <si>
    <t>vandalism</t>
  </si>
  <si>
    <t>ঢাকার নবাবগঞ্জে বর্ধনপাড়ায় বায়তুস সুজুত মসজিদে দুর্বৃত্তরা হামলা ও ভাঙচুর করেছে। স্থানীয়রা একজনকে দোষারোপ করলেও তিনি অভিযোগ অস্বীকার করেছেন।</t>
  </si>
  <si>
    <t>২ নভেম্বর ২০২২ জামালপুরের মাদারগঞ্জে দুর্গা প্রতিমার গায়ে কালো রঙ করে ভয়ানক চেহারা আঁকা হয় এবং মূর্তির পা কেটে ফেলে দুর্বৃত্তরা</t>
  </si>
  <si>
    <t>সিলেটে একটি সম্পত্তি ইস্যুতে হিন্দু-মুসলিম সম্প্রদায়ের মধ্যে সংঘর্ষ বাধে। সংঘর্ষের সময় দুই পক্ষ থেকে গুলি চালানো হয় এবং অন্তত ৪০ জন নিহত হন। বহু বাড়িঘর ও মন্দির পুড়িয়ে দেওয়া হয়। সরকার পরিস্থিতি শান্ত করতে কঠোর নিরাপত্তা ব্যবস্থা গ্রহণ করে।</t>
  </si>
  <si>
    <t>২২ ডিসেম্বর ২০২৪ কক্সবাজারের টেকনাফে একটি বৌদ্ধ বিহারে হামলা চালিয়ে বুদ্ধমূর্তির মাথা ও হাত ভেঙে দেয় দুর্বৃত্তরা</t>
  </si>
  <si>
    <t>নরসিংদীতে ধর্মীয় উত্তেজনার কারণে সংঘর্ষে ৪৪ জন নিহত হন। পুলিশ পরিস্থিতি নিয়ন্ত্রণে ব্যর্থ হলেও সরকার সবাইকে শান্ত থাকার ও দায়িত্বশীল আচরণের নির্দেশ দেয়। বহু সংখ্যালঘু পরিবার নিরাপত্তার জন্য আশ্রয় খুঁজে নেয়।</t>
  </si>
  <si>
    <t>২৭ জানুয়ারি ২০২৫ কিশোরগঞ্জের কটিয়াদীতে একটি পুরনো মনসা মন্দিরে পাথরের মূর্তি ভেঙে পাশের ধানক্ষেতে ফেলে দেয়া হয়</t>
  </si>
  <si>
    <t>তিনি মনে করেন,নোয়াখালী গণ হত্যায় যে পরিমান হিন্দুকে হত্যা করা হয়েছে তার কয়েকগুন বেশি হিন্দু মহিলাদের ধর্ষণ এবং ধর্মান্তকরন করা হয়েছে।</t>
  </si>
  <si>
    <t>জঙ্গিরা হিন্দু ধর্মাবলম্বীদের সম্প্রদায়ের উপর গণহত্যা চালিয়ে হাজারো মানুষ হত্যা করে এবং বহু নারীকে দাসত্বের জন্য বন্দি করে।</t>
  </si>
  <si>
    <t>অনেক বছর ইসলাম সম্পর্কে ভাবিনি, তবে হঠাৎ মনের মধ্যে আলো জ্বলে উঠল এবং আমি ইসলাম সম্পর্কে আরও জানার ও পড়ার চেষ্টা শুরু করলাম।</t>
  </si>
  <si>
    <t>শবে বরাতকে ক্ষমার রাত বা প্রায়শ্চিত্তের দিনও বলা হয়। মুসলমানরা মধ্য শা'বানকে ইবাদত ও মুক্তির রাত হিসেবে পালন করে। ইমাম শাফিঈ, ইমাম নওয়াবী, ইমাম গাজ্জালী এবং ইমাম সুয়ুতীর মতো পণ্ডিতরা মধ্য শা'বানের রাতে প্রার্থনা গ্রহণযোগ্য বলে ঘোষণা করেছেন।</t>
  </si>
  <si>
    <t>কালিয়ায় ২শ হিন্দু পরিবারের বাড়িঘর ভাঙচুর পাথরঘাটায় ৩ আওয়ামী লীগ কর্মীকে কুপিয়ে আহত</t>
  </si>
  <si>
    <t>হবিগঞ্জে ধর্মীয় উত্তেজনার কারণে সংঘর্ষে ৪৫ জন মুসলিম সম্প্রদায় নিহত হন। পুলিশ সহিংসতা দমনে ব্যর্থ হলেও সরকার শান্ত থাকার নির্দেশ দেয়। বহু পরিবার নিরাপত্তার কারণে গ্রাম ছেড়ে চলে যায়।</t>
  </si>
  <si>
    <t>২০২০ সালের নভেম্বর মাসে এক মসজিদে ধর্মীয় উগ্রবাদীদের আত্মঘাতী বোমা হামলায় ৩৮ জন নিহত হন এবং শতাধিক আহত হয়।</t>
  </si>
  <si>
    <t>এক গোষ্ঠী সড়কে ধর্মীয় মিছিল বাধা দেয়, সংঘর্ষে ১৯ জন নিহত হয়।</t>
  </si>
  <si>
    <t>hate</t>
  </si>
  <si>
    <t>কিছু উগ্র ধর্মানুরাগী নিজেদের ধর্মকে অত্যন্ত শ্রেষ্ঠ বলে দাবি করে অন্য ধর্মাবলম্বীদের উপহাস করে যা সমাজে বিভাজনের সৃষ্টি করে।</t>
  </si>
  <si>
    <t>এদেশে মুসলমানরা স্রেফ সংখ্যায় বেশি, কিন্তু তোরজোর মুনাফেক, অমুসলিমদের বেশি।</t>
  </si>
  <si>
    <t>যারা ধর্ম নিয়ে বাড়াবাড়ি করে,অবমাননা করে তারা কখনও ধার্মিক হতে পারে না | ধর্ম মানেই শান্তির পরশ | শ্রদ্ধাবোধ দিয়ে টিকে আছে,আমি তোমার ধর্মকে শ্রদ্ধা করলেই তুমিও করবে|</t>
  </si>
  <si>
    <t>সিলেটের এক গ্রামে ধর্মীয় বিদ্বেষের কারণে সংঘর্ষে ৪৫ জন নিহত হন; বাড়িঘর ও মন্দির ভস্মীভূত হয়।</t>
  </si>
  <si>
    <t>পটুয়াখালীর এক গ্রামে ধর্মীয় সহিংসতার জেরে সংখ্যালঘু হিন্দু সম্প্রদায়ের ৪১ জন নিহত হন। হামলাকারীরা তাদের বসতঘর ও ব্যবসায়িক প্রতিষ্ঠান ধ্বংস করে দেয়।</t>
  </si>
  <si>
    <t>যে ব্যক্তি ধর্ম মানে শুধু আনুষ্ঠানিকতা বোঝে না, বরং ন্যায় ও মমতা অনুসরণ করে, সে-ই প্রকৃত ধার্মিক।</t>
  </si>
  <si>
    <t>কুমিল্লার নানুয়া দীঘির পারে একটি পূজা মন্ডবে হিন্দুরা ইচ্ছাকৃতভাবে মুর্তির পায়ে কুরআন রেখে মুসলিমদের অপমান করেছে, এটা সহ্য করা যায় না।</t>
  </si>
  <si>
    <t>একটি গীতা পাঠে যদি কারো মন শান্ত হয়, সেটাও একধরনের প্রার্থনা।</t>
  </si>
  <si>
    <t>মিথ্যা বলা, চুরি করা ও অন্যের ক্ষতি করা ইসলামে নিষিদ্ধ; ধর্ম মানুষকে রোগী, দরিদ্র, বাবা-মায়ের সেবা এবং সৎ পথে চলার শিক্ষা দেয়।</t>
  </si>
  <si>
    <t>২০২২ সালের জানুয়ারিতে এক গ্রামে ধর্মীয় গোষ্ঠী সংঘর্ষের সময় ৪৫ জন নিহত হন, তাদের বাড়িঘর এবং মন্দির ভেঙে ফেলা হয়।</t>
  </si>
  <si>
    <t>২০২০ সালের মার্চে ধর্মীয় উত্তেজনার ফলে শিক্ষার্থীদের মধ্যে সংঘর্ষে ২৭ জন নিহত হন; স্কুল এবং কলেজগুলি বন্ধ হয়ে যায়।</t>
  </si>
  <si>
    <t>ঢাকায় হিন্দু ছাত্রীর নামে ইসলাম অবমাননার মিথ্যা ছড়িয়ে তাকে গুম করে ফেলা হয়েছ। এইটা আজকের মুসলিম সংখ্যাগরিষ্ঠদের ধর্মান্ধ বর্বর রূপ।</t>
  </si>
  <si>
    <t>উত্তেজিত বিক্ষুব্ধ জনতার উপর পুলিশের গুলিবর্ষণে শিশুসহ অন্তত ২০ জন আহত হয়েছে। পটিয়ায়ও বৌদ্ধবিহারে হামলা ও ভাংচুরের ঘটনা ঘটেছে।</t>
  </si>
  <si>
    <t>২৬শে মার্চ, বাংলাদেশে ধর্মীয় পরিচয়ের কারণে হিন্দু সম্প্রদায়ের ওপর সামরিক অভিযান চালানো হয়। হাজারের বেশি হিন্দু নিহত হন এবং অনেক শরণার্থী হয়।</t>
  </si>
  <si>
    <t>প্রতি বছর ২রা মে শহীদদের আত্মার শান্তির জন্য ভগবদ গীতা পাঠ ও ধর্মীয় আনুষ্ঠানিকতা পালিত হয়। স্মৃতিস্তম্ভটি এখন এক পবিত্র স্থান, যেখানে শান্তি ও মোক্ষের প্রার্থনা করা হয়।</t>
  </si>
  <si>
    <t>কুমিল্লার দেবিদ্বারে একটি মসজিদে নামাজরত মুসল্লিদের ওপর হামলা-ভাঙচুর চালানো হয়েছে। এ ঘটনায় মসজিদের সেক্রেটারিসহ চারজন আহত হয়েছেন।</t>
  </si>
  <si>
    <t>রামায়ণে আমরা দেখি, রামচন্দ্র কতটা ধৈর্য্য ও সততার সাথে জীবন যাপন করেছেন , যা আমাদের জন্যও শিক্ষণীয়।</t>
  </si>
  <si>
    <t>দেশের বিভিন্ন অঞ্চলে ধর্মের নামে অধার্মিক ও অনৈতিক কার্যকলাপ গড়তে দেখা যায়। এক ধর্মের অনুসারীর অন্য ধর্মের অনুষ্ঠানের ওপর হামলা ও প্রতিবন্ধকতা সৃষ্টি করার প্রচেষ্টা দেখা যায়।</t>
  </si>
  <si>
    <t>বাংলাদেশের প্রধানমন্ত্রী ৬ অক্টোবর বৌদ্ধবিরোধী সহিংসতার নিন্দা জানিয়ে, এটি পূর্বনির্ধারিত মনে করেন এবং সবাইকে সংযমের আহ্বান জানান।</t>
  </si>
  <si>
    <t>বাংলাদেশের ঢাকা শহরে ইসলামবিরোধী গোষ্ঠী কোরআন পোড়ানোর চেষ্টা করলে মুসলিমরা বাধা দেয়, দুইপক্ষের সংঘর্ষে কয়েকজন আহত হন</t>
  </si>
  <si>
    <t>২০১৯ সালের ডিসেম্বর মাসে এক খ্রিস্টান সম্প্রদায়ের প্রার্থনালয়ে হামলা চালিয়ে আত্মঘাতী বোমা বিস্ফোরণ ঘটানো হয়। এতে ৪৫ জন নিহত হন এবং অনেকেই গুরুতর আহত হন।</t>
  </si>
  <si>
    <t>ধর্মগ্রন্থ অবমাননার পর সহিংস প্রতিক্রিয়া ইসলাম সমর্থন করে কিনা, তা ইসলাম ধর্মের অনুসারীদের ভাবতে হবে।</t>
  </si>
  <si>
    <t>বাঙালির আত্মপরিচয়ের সঙ্গে যে দেশজ ও লোকায়ত সংস্কৃতি ওতপ্রোত, সেখানে হিন্দু - মুসলমানের আচার ব্যবহারের সম্মিলিত সাংস্কৃতিক ঐতিহ্যের একটা ফল্গু ধারা মিশে ছিল। আজও যা একেবারে নিশ্চিহ্ন হয়ে যায় নি।</t>
  </si>
  <si>
    <t>লালমনিরহাটে ধর্মীয় গোষ্ঠীর সংঘর্ষে ৩১ জন নিহত হয়; ব্যাপক ক্ষতি হয়।</t>
  </si>
  <si>
    <t>পুজা শুধু জগন্নাথ হলে হয়েছে।পুরো ক্যম্পাসে,যত্রতত্র, ডিপার্টমেন্টের আনাচে-কানাচে তো আর পুজার ব্যবস্থা করা হয়নি। পুজা হওয়া নিয়ে এতো চুলকানি কিসের!এতো হিংসা বিদ্বেষ কিসের!</t>
  </si>
  <si>
    <t xml:space="preserve">ডোমারে একটি সংখ্যালঘু হিন্দু পরিবারের ভিটেবাড়ি দখলে দাঙ্গা বাধানোর উস্কানি দিচ্ছে উগ্রবাদী কুকুরগুল। </t>
  </si>
  <si>
    <t>ধর্ম নিয়ে তর্ক নয়, বরং এসব বিষয় বাদ দিয়ে মানুষে মানুষে মিলেমিশে সামনে এগিয়ে চলা উচিত।</t>
  </si>
  <si>
    <t>একজন ধার্মিক মানুষ সর্বক্ষেত্রে পরকালীন জীবনকে সবকিছুর ওপর প্রাধান্য দেয়। সে পার্থিব জীবনকে তুচ্ছজ্ঞান করতে শেখে।</t>
  </si>
  <si>
    <t>এ উৎসবকে ঘিরে বৌদ্ধবিহারগুলো সাজানো হয়েছে নতুন সাজে। সন্ধ্যার পর পাড়ায় পাড়ায় উৎসবমুখর পরিবেশে উড়ানো হয়ে থাকে ফানুস বাতি।</t>
  </si>
  <si>
    <t>ধর্ম হল এমন একটি পথ যা মানুষকে সত্য, ন্যায় এবং শান্তির দিকে পরিচালিত করে, এবং এটি কখনোই সহিংসতা বা বিতর্ক সৃষ্টি করার উদ্দেশ্যে নয়, বরং সকল মানুষের মধ্যে সহমর্মিতা, শ্রদ্ধা এবং ভালোবাসা ছড়িয়ে দিতে চায়।</t>
  </si>
  <si>
    <t>ক্যাথলিক মণ্ডলীর সাতটি প্রধান অনুষ্ঠান আছে, যাদের মধ্যে সবচেয়ে গুরুত্বপূর্ণটি হল যীশুর নিস্তারপর্বের ভোজ উদ্‌যাপন অনুষ্ঠান। বহু মানুষের উপস্থিতিতে স্ত্রোত্রপাঠের মাধ্যমে এটি সম্পন্ন করা হয়।</t>
  </si>
  <si>
    <t>২২ জুন ২০২৪ ফরিদপুরে রথযাত্রার পূর্বে এক রাধাকৃষ্ণ মন্দিরে রাতের বেলা হামলা চালিয়ে সমস্ত প্রতিমা ও বাদ্যযন্ত্র ভেঙে ফেলা হয়</t>
  </si>
  <si>
    <t>বিমলা সুন্দরী পাল নামের এক মহিলাকে ধরে নিয়ে হিন্দু হবার কারনে হত্যা করে তারা। মইমান ইউনিয়ন পরিষদের সভাপতি বরদা প্রসাদ রায় এবং তার পরিবারের ১৬ জন সদস্যকে নির্মম ভাবে হত্যা করে উন্মত্ত মুসলিমরা।[</t>
  </si>
  <si>
    <t>নাগরিকত্ব সংশোধনী আইন (CAA) বিরোধী ও সমর্থকদের সংঘর্ষে নরসিংদীতে হিন্দু-মুসলিম দাঙ্গা হয়, ৫৩ জন নিহত হয়, যার বেশিরভাগ মুসলিম।</t>
  </si>
  <si>
    <t>যেখানে রাসূল পাক (সাঃ) নিজেই বলেছেন যে, যারা নির্দোষ বা সংখ্যাগরিষ্ঠ নয় এমন বিধর্মীদের কষ্ট দেবে, আমি নিজেই আল্লাহর কাছে তাদের বিরুদ্ধে নালিশ করব কিংবা তাদের বিরুদ্ধে প্রতিকার চাইব।</t>
  </si>
  <si>
    <t>খ্রিস্টধর্ম গ্রহণ করায় এক পরিবারকে গ্রামছাড়া করা হয় এবং তাদের ঘরবাড়ি গুঁড়িয়ে ফেলা হয়। মোট নিহত: ৩ জন।</t>
  </si>
  <si>
    <t>ধর্মীয় ভিত্তিতে বিচার ছাড়া এক ব্যক্তিকে জনতার হাতে তুলে দেয়া হয় এবং পাথর মেরে হত্যা করা হয়; এই নৃশংসতায় ১১ জন প্রাণ হারান।</t>
  </si>
  <si>
    <t>মেহেরপুর সদর উপজেলার গহরপুর সুজনের বিরুদ্ধে ইসলাম ধর্ম নিয়ে উল্টাপাল্টা বক্তব্যের কারণে আইনগত ব্যবস্থা নেওয়া উচিত।</t>
  </si>
  <si>
    <t>পৃথিবীতে সৃষ্টি শুরুতে ইসলাম ছিল এবং পৃথিবীর ধ্বংস শেষ পর্যন্ত থাকবে</t>
  </si>
  <si>
    <t>২৭ আগস্ট রাতে মানিকগঞ্জের হরিরামপুর উপজেলার ভাদিয়াখোলা গ্রামের সার্বজনীন দূর্গা মন্দিরের নবনির্মিত প্রতিমা ভাঙচুর করা হয়।</t>
  </si>
  <si>
    <t>হাট-বাজার থেকে সকল হিন্দু ব্যবসায়ী এবং দোকান মালিকদেরকে বের করে দেয়ার চেষ্টা করে মুসলিমরা। যে সকল হিন্দু পুনরায় তাদের লুটপাটকৃত ও ধ্বংসপ্রাপ্ত বাড়ি-ঘর পুনঃনির্মাণের চেষ্টা করছিল তাদেরকে এলাকা ছাড়ার হুমকি দেয়া হয়।</t>
  </si>
  <si>
    <t>এক তরুণীকে নৃশংসভাবে ধর্ষণ ও হত্যার পর ধর্ষণকারীদের ধর্মীয় পরিচয় নিয়ে সাম্প্রদায়িক উত্তেজনা ছড়ানোর অভিযোগ ওঠে এক এমএলএর বিরুদ্ধে, যিনি ইঙ্গিত দেন ধর্ষণকারীরা মুসলিম। এতে বিভিন্ন মুসলিম সংগঠন তীব্র প্রতিবাদ জানায়।</t>
  </si>
  <si>
    <t>২০২০ সালের জুন মাসে এক গোষ্ঠী ধর্মীয় সম্প্রদায়ের লোকদের উপর ব্যাপক সহিংসতা চালিয়ে ১১ জন নিহত হয়।</t>
  </si>
  <si>
    <t>এক গোষ্ঠী ধর্মীয় শিক্ষকদের উপর হামলা চালিয়ে ১৮ জন নিহত করে।</t>
  </si>
  <si>
    <t>ইসলাম কখনো জঙ্গী ধর্ম নয়, একই সাথে ধর্মের নামে কেবল ইসলামেই উগ্রতা আর জঙ্গীবাদ আছে এমন নয়, সব ধর্মেই আছে, তাহলে মুভিতে কেনো ইসলাম আর কলেমার পতাকারই শুধু ব্যাবহার?"</t>
  </si>
  <si>
    <t>মাশাআল্লাহ। আলহামদুলিল্লাহ। খুব ই সুন্দর বুঝিয়েছেন। এই ভাবে বুঝালে এবং পড়তে চেষ্টা করলে ইনশাআল্লাহ কুরআন মাজিদ মশ্ক করে পড়া অবশ্যই সম্ভব।</t>
  </si>
  <si>
    <t>২০১৫ সালের সেপ্টেম্বর মাসে এক ধর্মীয় গোষ্ঠী সংখ্যালঘুদের ওপর কর চাপিয়ে দেয়, দিতে না পারার অপরাধে বাড়িঘর পুড়িয়ে দেয়, এতে ২৬ জন মারা যান।</t>
  </si>
  <si>
    <t>আল্লাহর নির্দেশনা মেনে চললে জীবনে শান্তি ও প্রশান্তি আসে, এবং আমরা সঠিক পথে চলার জন্য আল্লাহর সাহায্য লাভ করি।</t>
  </si>
  <si>
    <t>মাইকে বেশ কিছু উগ্রপন্থী মুসলমানরা হামলা ঘোষণা দিয়ে হামলা চালায় এতে ৮৮টি বাড়িঘর এবং ৭/৮টি পারিবারিক মন্দির ভাংচুর এবং আসবাবপত্র তছনছ করা হয়েছে।</t>
  </si>
  <si>
    <t>আল্লাহ প্রদত্ত বা আসমানি ধর্মের পাশাপাশি পৃথিবীতে বহু মানবরচিত ধর্মের উদ্ভব ঘটেছে। কালের বিবর্তনে যেগুলো সমাজ ও মানবতার কল্যাণে গুরুত্বপূর্ণ ভূমিকা রেখেছে।</t>
  </si>
  <si>
    <t>কুমিল্লায় দুর্গাপূজার অষ্টমীতে পূজামণ্ডপে কুরআন রেখে ধর্ম অবমাননার অভিযোগ তুলে হামলা চালানো হয়, যা ধর্মীয় অনুভূতিতে আঘাত এবং মণ্ডপ ভাঙচুরের মতো সহিংসতার জন্ম দেয়।</t>
  </si>
  <si>
    <t>মুসলিমদের দোকান ও মসজিদে হামলা হয় বৌদ্ধ জাতীয়তাবাদীদের দ্বারা।</t>
  </si>
  <si>
    <t>যেহেতু আমি ইসলাম ধর্মের অনুসারী আমি যদি আমার ধর্মের আলোকে ব্যাখা দেই এই গ্রুপে অন্য ধর্মের অনুসারীরা অনেকেই মানবেন না।</t>
  </si>
  <si>
    <t>লালমনিরহাট পূজা উৎযাপন পরিষদ এর সাধারণ সেক্রেটারির মতে শুধুমাত্র ৪ থেকে ৫ শতাংশ হিন্দুই তাদের ভোটাধিকার প্রয়োগ করতে পেরেছিল। শফিনগর এবং সেনপাড়া গ্রামের শতাধিক হিন্দু পরিবার; নির্বাচনের পর জামাতি ইসলাম ও ইসলামী ছাত্র শিবির থেকে হুমকি পায়।</t>
  </si>
  <si>
    <t>আমি সত্যিই প্রশংসা করেছিলাম কারণ তারা হারাম কাজে জড়ায়নি, আল্লাহ আমাদের সবাইকে সঠিক পথে চালানোর তাওফিক দিন।</t>
  </si>
  <si>
    <t>আমরা যদি নিজের ধর্মের পাশাপাশি অন্য ধর্মকেও শ্রদ্ধা করি, তাহলে সমাজে শান্তি বজায় থাকবে।</t>
  </si>
  <si>
    <t>নরসিংদীতে সংখ্যালঘু মুসলিম সম্প্রদায়ের ওপর পরিকল্পিত হামলায় অন্তত ৪৩ জন নিহত হন। হামলাকারীরা তাদের সম্পত্তি লুটপাট ও বাড়িঘর পুড়িয়ে দেয়।</t>
  </si>
  <si>
    <t>বাংলাদেশে সরকার করোনাভাইরাস সংক্রমণ ঠেকাতে ওয়াজমাহফিল এবং তীর্থযাত্রাসহ সব ধরণের ধর্মীয়, রাজনৈতিক, সামাজিক ও সাংস্কৃতিক জমায়েত বন্ধ রাখার নির্দেশ দিয়েছে।</t>
  </si>
  <si>
    <t>ঝালকাঠিতে ধর্মীয় উত্তেজনা থেকে সংঘর্ষে ৪৮ জন প্রাণ হারায়। পুলিশ দ্রুত এলাকা ঘিরে রাখে, সরকার ধর্মীয় সহনশীলতা বজায় রাখতে সবাইকে শান্ত থাকার আহ্বান জানায়। অনেক সংখ্যালঘু পরিবার নিরাপত্তার অভাবে গ্রাম ছেড়ে আশ্রয় খুঁজে নেয়।</t>
  </si>
  <si>
    <t>বকশিগঞ্জ নলডাঙ্গা রায়পুরা ঈশ্বরগঞ্জে প্রতিমা ভাঙচুর</t>
  </si>
  <si>
    <t>একই সঙ্গে পুরনো ঢাকার বেশ কয়েকটি এলাকায় জুয়েলারি দোকান, মিষ্টান্ন ভাণ্ডার, হোটেল ও রেস্তরাঁসহ হিন্দু সম্প্রদায়ের মালিকানাধীন দোকানপাটে হামলা ও অগ্নিসংযোগ করা হয়।</t>
  </si>
  <si>
    <t>মুসলিম সম্প্রদায়ের কিছু উগ্রপন্থী নিজেদের ধর্মকে অন্য ধর্মের চেয়ে শ্রেষ্ঠ মনে করে এবং অন্য ধর্মাবলম্বীদের অবজ্ঞা করে।</t>
  </si>
  <si>
    <t>মুসলিমদের মধ্যে মানুষ দেখো না? মুসলিম নামক জীবগুলো মানুষ নয় বুঝি? মুসলিমরা তোমাদের চোখে নিকৃষ্ট অধম কোনো প্রাণীতে পরিণত হয়েছে!</t>
  </si>
  <si>
    <t>২০১৭ সালের নভেম্বর মাসে এক মুসলিম উগ্রগোষ্ঠী সংখ্যালঘু হিন্দুদের নাগরিকত্ব বাতিল করে, যার ফলে ৬০ জন নিঃস্ব হয়ে পড়ে এবং অসুস্থতার কারণে মারা যান।</t>
  </si>
  <si>
    <t>মুসলমানরা শুধু নিজেদের ধর্মের ব্যাপারে সচেতন নয়, তারা অন্য ধর্মের প্রতি সম্পূর্ণ অবজ্ঞা দেখায় এবং সহিংসতার পথ বেছে নেয়।</t>
  </si>
  <si>
    <t>কুমিল্লায় সংঘটিত দাঙ্গা স্পষ্টভাবে একটি সাম্প্রদায়িক সম্প্রীতি ভাঙার উদ্দেশ্যে পরিকল্পিত ষড়যন্ত্র।</t>
  </si>
  <si>
    <t>হে আল্লাহ যারা এই পবিত্র কুরআন শরীফ পুড়ানোর অনুমতি দিয়েছে আর যারা পুড়াতে চাই তাদের সবার অপবিত্র হাতকে পঙ্গু বানিয়ে দাও যেন আর কেউ দুঃসাহস না দেখাতে পারে। আমিন!</t>
  </si>
  <si>
    <t>কিছু বিদ্বেষমূলক মতবাদে মুসলমানদের বিরুদ্ধে অনৈতিক এবং অসত্য অভিযোগ আরোপ করা হয়, যেমন অর্থলিপ্সা, পরিশ্রমের অভাব, ধূর্ততা, গোষ্ঠীপ্রীতি ও দেশপ্রেমহীনতা।</t>
  </si>
  <si>
    <t>তারা ফেসবুকে কোরআন অবমাননার বিচার চায় না, বরং দোষীকে বাঁচাতে ইসলামবিদ্বেষী মিথ্যা ছড়াতে ব্যস্ত। আশ্চর্য!</t>
  </si>
  <si>
    <t>আমার ধর্ম আমার কাছে সেরা।</t>
  </si>
  <si>
    <t>বরাবর দেখেছি,  বাংলা চ্যানেলগুলো যেকোনো ধরনের সাম্প্রদায়িক সন্ত্রাসের খবরকে বিশেষ করে ধর্মীয় দাঙ্গা অধিকতর গুরুত্ব দিয়ে দিয়ে প্রচার করে থাকে।</t>
  </si>
  <si>
    <t>মাদারীপুরে এক ধর্মীয় গোষ্ঠীর মধ্যে সংঘর্ষে ২৮ জন নিহত হন; আহত হয় অনেকেই।</t>
  </si>
  <si>
    <t>ধর্ম যার যার উৎসব সবার। এটা একটা জগন্য কুফরি বাক্য। আল্লাহ মুসলিমদের সহি বুঝ দান করুন।</t>
  </si>
  <si>
    <t>বৌদ্ধরা নিজস্ব শান্তিপূর্ণ ধর্ম হলেও কিছু সময় ওরা নিজেদের ধর্মীয় মঞ্চ থেকে অন্য ধর্মের প্রতি অবজ্ঞাসূচক মন্তব্য করে বিদ্বেষ সৃষ্টি করে।</t>
  </si>
  <si>
    <t>আপনার এই অসাধারণ কথা গুলো শুনে বিশেষ করে কুরআন দিয়ে ব্যাখ্যা, দিন দিন আল্লাহর সাথে সম্পর্কটা আরো গভীর হচ্ছে আলহামদুলিল্লাহ</t>
  </si>
  <si>
    <t>শয়তানের উপাসকরা ধর্মদ্রোহী অশুভ প্রাণী এদের সমাজ থেকে নির্মূল করা উচিত।</t>
  </si>
  <si>
    <t>পরদিন এলাকায় মাইকিং করে নাসিরনগর উপজেলা সদরে আলাদা দুটি প্রতিবাদ সমাবেশ অনুষ্ঠিত হয়। সমাবেশে অংশগ্রহণকারীরা নাসিরনগরে হিন্দুদের মন্দির ও বাড়িঘরে হামলা চালায়।</t>
  </si>
  <si>
    <t>এক উপজাতীয় সম্প্রদায়কে মন্দির নির্মাণের বিরোধিতায় গ্রামছাড়া করা হয়, তাদের বাড়িঘর ভেঙে ফেলা হয় ও প্রধান পুরোহিতকে হত্যা করা হয়। মোট নিহত: ৩১ জন।</t>
  </si>
  <si>
    <t>আগামীকাল শুক্রবার সকালে পোপ ঢাকার সোহরাওয়ার্দি উদ্যানে যে ভাষণ দেবেন সেখানে যোগ দিতে খ্রিস্টান সম্প্রদায়ের অনেকেই কার্ড সংগ্রহের জন্য আবেদন করেছেন এখানে। কথা বলছিলাম প্রশান্ত থিওটোনিয়াসের সাথে। তিনি জানালেন তাদের প্রধান ধমর্গুরুর আগমনের জন্য দীর্ঘদিন ধরেই অপেক্ষার দিন গুনছিলেন।</t>
  </si>
  <si>
    <t>ধর্মগ্রন্থ পোড়ানো কখনো মত প্রকাশের স্বাধীনতা হতে পারে না। মুসলিমদের এ বিষয়ে জাগরণ জরুরি। আমি তীব্র নিন্দা জানাই।</t>
  </si>
  <si>
    <t>যদি আল্লাহর পথে প্রচুর স্বর্ণ দাও কিন্তু তাকদিরে বিশ্বাস না রাখো, তা গ্রহণ হবে না। তাকদিরে বিশ্বাস ছাড়া মৃত্যু হলে জাহান্নামে যাওয়ার কথা।</t>
  </si>
  <si>
    <t>১৯৪৬ সালে সাম্প্রদায়িক দাঙ্গায় মুসলমানদের উপর নেমে আসে নৃশংস নির্যাতন। সহিংস হত্যাযজ্ঞে প্রাণ হারায় হাজারো মানুষ, অনেকেই আত্মরক্ষার উপায় না পেয়ে আত্মহত্যা করতে বাধ্য হয়।</t>
  </si>
  <si>
    <t>চাঁদপুরে মুসলিম ধর্মীয় শিক্ষাকেন্দ্রের দেয়ালে আপত্তিকর ছবি আঁকা হয় এবং কুরআনের আয়াত বিকৃত করে লেখা হয়।</t>
  </si>
  <si>
    <t>কোন তৃতীয় পক্ষ হয়তো ষড়যন্ত্র করে বিভেদ সৃষ্টির চেষ্টা করছে। কোন মুসলিম যেমন চাইবে না মসজিদে বেদ গ্রন্থ রাখতে আবার কোন হিন্দু ও চাইবে না তার ভগবানের পায়ে কোরআন শরীফ রাখতে। যেহেতু এটি ধর্মীয় স্পর্শ কাতর বিষয় তাই এর সুষ্ঠু তদন্ত হোক। ধর্মীয় অরাজকতা সৃষ্টি করে থার্ড পার্টি যেন ফায়দা হাসিল করতে না পারে সেদিকে সজাগ দৃষ্টি রাখতে হবে।</t>
  </si>
  <si>
    <t>এই জন্য এই ব্যাক্তি মন থেকে দুআ করি।আল্লাহ তার সহয়াক হন। কাক্কু তোমার জন্য মন থেকে দুআ এবং ভালোবাসা অবিরাম</t>
  </si>
  <si>
    <t>অভিযুক্ত শিক্ষকের বিরুদ্ধে সোমবার থানায় একটি সাধারণ ডায়েরি হয়েছে এবং ধর্মীয় অনুভূতিতে আঘাত দেয়ার অভিযোগে মামলা দায়েরের প্রস্তুতি চলছে।</t>
  </si>
  <si>
    <t>গোপালগঞ্জে ধর্মীয় গোষ্ঠী সংখ্যালঘুদের ওপর সহিংসতা চালিয়ে ২৮ জন প্রাণ হারায়।</t>
  </si>
  <si>
    <t>ফেনীতে মসজিদের সাউন্ড সিস্টেমের তার কেটে দিয়ে ফজরের আজান বন্ধের চেষ্টা করা হয়।</t>
  </si>
  <si>
    <t>নওগাঁয় হিন্দু পরিবারকে ধর্মত্যাগে বাধ্য করতে বাড়িঘর ঘেরাও করে রাখে স্থানীয় মৌলবাদী গোষ্ঠী।</t>
  </si>
  <si>
    <t>পাবনায় হিন্দু সম্প্রদায়ের দুর্গাপূজা উপলক্ষে স্থাপিত মণ্ডপে রাতের আঁধারে কাদামাটি ছুঁড়ে মারে অজ্ঞাত দুর্বৃত্ত।</t>
  </si>
  <si>
    <t>পাবনায় হিন্দু-মুসলিম দাঙ্গায় অন্তত ৩৫ জন নিহত হন। মসজিদ ও মন্দির পুড়িয়ে দেওয়া হয়।</t>
  </si>
  <si>
    <t>নওগাঁয়ে হিন্দু ও মুসলিম সম্প্রদায়ের মধ্যে দীর্ঘদিনের দ্বন্দ্ব অবশেষে তীব্র দাঙ্গায় রূপ নেয়। সংঘর্ষে ৩৩ জন নিহত হন এবং অনেকেই আহত হন। পরিস্থিতি শান্ত করতে সেনা মোতায়েন করা হয়।</t>
  </si>
  <si>
    <t>২০১৯ সালের মার্চে এক ধর্মীয় গোষ্ঠী সংখ্যালঘুদের ওপর কর চাপিয়ে দেয়; দিতে না পারলে বাড়িঘর জ্বালিয়ে দেয়; এতে ২৫ জন নিহত হয়।</t>
  </si>
  <si>
    <t>এক ধর্মীয় শিক্ষক ছাত্রীদের উপর যৌন নির্যাতন চালায়, তাদের মুখ বন্ধ রাখতে ধর্মের নামে শাস্তির হুমকি দেয়; প্রতিবাদে সংঘর্ষে ১৯ জন প্রাণ হারান।</t>
  </si>
  <si>
    <t>সমস্ত ধর্মের প্রতি গভীর শ্রদ্ধা ও সম্মান থাকা উচিত, কারণ প্রত্যেক ধর্মেরই তার নিজস্ব প্রাচীন ঐতিহ্য ও মৌলিক মূল্যবোধ রয়েছে।</t>
  </si>
  <si>
    <t>তাও আবার প্রধানমন্ত্রীর নির্দেশে, এই আওয়ামী সরকার সব সময়ে সাম্প্রদায়িক ভাবে উস্কে দিয়ে নিরবে বসে থাকে। হিন্দু মুসলিম দাঙ্গা বাঁধলে তারা ফায়দা নিতে পারে।</t>
  </si>
  <si>
    <t>গুপ্ত সাম্রাজ্যের পর বাংলাদেশে ধর্মগুলোর আধ্যাত্মিক ও দার্শনিক সংমিশ্রণে বিকাশ ঘটে, বৌদ্ধ ধর্মও প্রভাবিত হয়।</t>
  </si>
  <si>
    <t>নোয়াখালীতে গুজব ছড়িয়ে দেয়া হয় হিন্দু ও শিখ সম্প্রদায় অস্ত্র হাতে জড় হচ্ছে, যা মানুষের মধ্যে ভয় ও আশঙ্কা বাড়ায়।</t>
  </si>
  <si>
    <t>প্রখ্যাত অভিনেতা প্রবীর মিত্র এই বার্ধক্য বয়সে এসে স্বেচ্ছায় ইসলাম ধর্ম গ্রহণ করেছেন। এই খবরে অনেকেই যেমন খুশি হয়েছেন।</t>
  </si>
  <si>
    <t>একজন সাইকোলজিস্ট যখন কোরআন ধর্ম আল্লাহ তায়ালার শ্রেষ্টত্বের বিষয়ে আত্নবিশ্বাসের জোর দিয়ে কথা বলে তখন নিজের আত্মবিশ্বাস অনেক বেড়ে যায়</t>
  </si>
  <si>
    <t>ধর্ম মানুষকে আত্মবিশ্বাস এবং দৃঢ়তা প্রদান করে, যা জীবনের কঠিন সময়ে সাহসী ও দৃঢ় থাকতে সাহায্য করে।</t>
  </si>
  <si>
    <t>১৭ সেপ্টেম্বর শনিবার গভীর রাতে বরিশালের মেহেন্দিগঞ্জ উপজেলার কাশিপুর দুর্গা মন্দিরে নির্মাণাধীন প্রতিমা ভাঙচুর করা হয়। প্রতিমার হাত ও মাথা খুলে পায়ের কাছে ফেলে রাখা হয়।</t>
  </si>
  <si>
    <t>মুহাম্মদের সময় নারীরা বিভিন্ন যুদ্ধে অংশ নেন, যা নারীর সামাজিক অংশগ্রহণে বাধা নেই তা প্রমাণ করে।</t>
  </si>
  <si>
    <t>ইসলামের শিক্ষা অনুযায়ী, প্রাণীদের প্রতি নিষ্ঠুরতা হারাম, এবং তাদের ক্ষতি করা আল্লাহর নিকট গ্রহণযোগ্য নয়।</t>
  </si>
  <si>
    <t>বাংলার সাবেক অর্থ মন্ত্রী ও বিশ্ববিদ্যালয়ের সাবেক উপাচার্য শ্যামাপ্রসাদ মুখোপাধ্যায় নোয়াখালী দাঙ্গাকে একটি সাধারণ সাম্প্রদায়িক দাঙ্গা হিসেবে দেখানোর বিতর্ককে প্রত্যাখান করেন। তিনি এ ঘটনাকে সংখ্যালঘু হিন্দু সম্প্রদায়ের উপর সংখ্যাগুরু মুসলিমদের সুপরিকল্পিত এবং সুসংঘটিত আক্রমণ বলে বর্ণনা করেন।</t>
  </si>
  <si>
    <t>৫ মার্চ দুর্বৃত্তরা উজিরপুর উপজেলার গুথিয়া ইউনিয়নের গুথিয়া সর্বজনীন কালী মন্দিরে আগুন দেওয়ার চেষ্টা করে। ৫ মার্চের প্রথম দিকে ভোলা জেলার বোরহানউদ্দিন উপজেলার অধীন পাকশিয়া ইউনিয়নে একটি কালী মন্দির ভাঙচুর করা হয়।</t>
  </si>
  <si>
    <t>মহানবী হজরত মুহাম্মদ (সা.)-কে নিয়ে একটি ফেসবুকের পোস্টে আকাশ সাহা নামে এক কলেজছাত্রের ফেসবুক আইডি থেকে গত বৃহস্পতিবার বিতর্কিত কমেন্ট করার অভিযোগ ওঠে। এর জেরে শুক্রবার বিকেলে হামলা হয় দিঘলিয়া গ্রামের সাহাপাড়ায়।</t>
  </si>
  <si>
    <t>লক্ষ্মণানন্দের হত্যার জন্য হিন্দুত্ববাদী গোষ্ঠীগুলি স্থানীয় খ্রিস্টান আদিবাসীদের দায়ী করে - যদিও সরকার খুনিদের মাওবাদী বিদ্রোহী বলে সন্দেহ করেছিল। পরে একজন প্রবীণ মাওবাদী নেতা হত্যার দায় স্বীকার করেন এবং পুলিশও নিশ্চিত করে যে মাওবাদীরা আদিবাসী যুবকদের হত্যা করার জন্য প্রশিক্ষণ দিয়েছিল।</t>
  </si>
  <si>
    <t>নেত্রকোণায় ধর্মীয় বিদ্বেষের কারণে ৪৪ জন নিহত হন। পুলিশ লাঠিচার্জ করে পরিস্থিতি নিয়ন্ত্রণে আনার চেষ্টা করলেও সহিংসতা রোধ হয়নি। বহু পরিবার পালিয়ে যায়।</t>
  </si>
  <si>
    <t>দু'হাজার পনের সালে ইসলামের নবীর কার্টুন প্রকাশের পর ব্যঙ্গাত্মক সাময়িকী অফিসে ১২ জনের মৃত্যুর ঘটনার পর যে ক্ষোভ দেখা গিয়েছিল তার সাথে গত ক'দিনের বিক্ষোভের তুলনা করা হচ্ছে।</t>
  </si>
  <si>
    <t>পুলিশের তথ্য অনুযায়ী ২০২১ সালের ১৪ই অক্টোবর পর্যন্ত কুমিল্লা ও চট্টগ্রাম রেঞ্জের বিভিন্ন এলাকায় ‘উসকানি দিয়ে’ মন্দিরে হামলা ও ভাঙচুরের ঘটনায় ৪৩ জনকে আটক করা হয়েছে।</t>
  </si>
  <si>
    <t>মুসলিম শাসকদের উদারতা, বৌদ্ধদের প্রতি মুসলিমদের ভালো ব্যবহারের ফলে দলে দলে বৌদ্ধরা ইসলামের ছায়ায় আশ্রয় নিতে থাকে।</t>
  </si>
  <si>
    <t>২০২০ সালের ফেব্রুয়ারি মাসে এক গোষ্ঠী ধর্মীয় গোষ্ঠীর মধ্যে সংঘর্ষে ৩৬ জন নিহত হয়।</t>
  </si>
  <si>
    <t>সিলেটের ৩৫ টি চা বাগানের সকল হিন্দু শ্রমিকদেরকে ইসলাম গ্রহণের জন্য হুমকি দেয়া হয়।তাদেরকে গো-মাংস ভক্ষনে বাধ্য করা হয়।</t>
  </si>
  <si>
    <t>বাংলাদেশের ফৌজদারি দণ্ডবিধিতে ধর্মীয় অবমাননার জন্য স্পষ্ট আইন রয়েছে, যা ১৯২৭ সালে যুক্ত ধারার মাধ্যমে সংশোধন করা হয় এবং স্বাধীনতার পর কিছু পরিবর্তনসহ গ্রহণ করা হয়।</t>
  </si>
  <si>
    <t>বাংলাদেশে ইসলামিক কথা বলে মানুষের মন জয় করছো, আর সেই ভিডিওতেই জুয়া’র মতো হারাম জিনিসের প্রচার করছো, এটা স্পষ্ট ধর্মবিরোধী ভণ্ডামি।</t>
  </si>
  <si>
    <t>১০ টাকার জন্য সাম্প্রদায়িক হামলা! সেটাও সম্ভব হয়েছে এই দেশে। ঘটনাটি আবার ঘটেছে ১০ জানুয়ারি, বঙ্গবন্ধুর স্বদেশ প্রত্যাবর্তন দিবসে।</t>
  </si>
  <si>
    <t>চলতি বছরের জানুয়ারি থেকে জুন পর্যন্ত ছয় মাসে হিন্দু সম্প্রদায়ের পাঁচজনকে হত্যা করা হয়েছে।</t>
  </si>
  <si>
    <t>যারা আজ ধর্মের অপমান করছে, তারা বিধর্মী সেজে ধর্মের ধ্বংসে লিপ্ত।</t>
  </si>
  <si>
    <t>যে ব্যক্তি আল্লাহর নির্দেশনা অনুসরণ করে, তার জীবন সুন্দর এবং সফল হয়, এবং আল্লাহ তাকে দুনিয়াতে শান্তি ও আখিরাতে পুরস্কৃত করেন।</t>
  </si>
  <si>
    <t>রাত ৮টায় সিলেট থেকে মাত্র ছয় মাইল দূরে নওগ্রামের গুরুচরণ ধরের পরিবারের উপর আক্রমণ করা হয়। পরের দিন সকাল ৭টায় ভারী অস্ত্রশস্ত্রে সজ্জিত মুসলিমরা গ্রামটি ঘিরে ফেলে। কমকরে ১,৫০০ হিন্দু প্রাণভয়ে বাড়িঘর ছেড়ে পাশের জঙ্গলে লুকিয়ে পড়ে।</t>
  </si>
  <si>
    <t>রমজান মাসে মুসলিমরা আত্মসংযমের মাধ্যমে আল্লাহর সান্নিধ্য লাভের চেষ্টা করে। এই মাসে ধৈর্য, সহানুভূতি ও দানের চর্চা বেড়ে যায়।</t>
  </si>
  <si>
    <t>কুমিল্লায় পুজা মন্ডপে মুর্তির পায়ের উপর সর্বশ্রেষ্ঠ মহাগ্রন্থ পবিত্র কুরআনুল কারিম রাখা হয়েছে। এই নোংরা অমানুষিকতার তীব্র নিন্দা জ্ঞাপন করছি। জড়িতদের অতি দ্রুত গ্রেফতারপূর্বক দৃষ্টান্তমূলক শাস্তি কার্যকরের জোড় দাবী জানাচ্ছি।</t>
  </si>
  <si>
    <t>এরা তো মানুষের কাতার-এ পড়ে না জাহান্নাম এর কীটগুলা.</t>
  </si>
  <si>
    <t>মধ্যপ্রাচ্যের এক দেশে সংখ্যালঘু সম্প্রদায়ের নারীদের যৌনদাসী করে বিক্রি করা হয়, তাদের ধর্ম পরিবর্তনে বাধ্য করা হয়। মোট নিহত: ৫৭ জন।</t>
  </si>
  <si>
    <t>ঈশ্বরগঞ্জে মন্দির থেকে মূল্যবান কষ্টিপাথরের শিবলিঙ্গ চুরি ও মন্দির ভাঙচুর</t>
  </si>
  <si>
    <t>১৯৪৬ সালের ১০ অক্টোবর কোজাগরি লক্ষ্মী পূজার দিনে শুরু হয়ে প্রায় চার সপ্তাহ ধরে হিন্দুদের উপর গণহত্যা সংঘটিত হয়, যেখানে কমপক্ষে ৫,০০০ হিন্দু নিহত হন।</t>
  </si>
  <si>
    <t>ময়মনসিংহের একটি গ্রামে ধর্মীয় দাঙ্গায় সংখ্যালঘু হিন্দু সম্প্রদায়ের ৩৭ জন নিহত হন। হামলায় বহু পবিত্র মন্দির ধ্বংসপ্রাপ্ত হয়। স্থানীয় প্রশাসন ও নিরাপত্তা বাহিনী যথাযথ পদক্ষেপ না নেওয়ায় পরিস্থিতি আরো অবনতির দিকে যায়। বহু পরিবার গৃহহীন হয়ে পড়ে।</t>
  </si>
  <si>
    <t>কিশোরগঞ্জে এক গোষ্ঠী ধর্মীয় অনুভূতিতে আঘাত দেওয়ার অভিযোগে শিল্পীর প্রদর্শনীতে হামলা চালায়; ১৭ জন নিহত হয়।</t>
  </si>
  <si>
    <t>সার্ব বাহিনী বসনিয়ার মুসলমানদের বিরুদ্ধে জাতিগত নির্মূল অভিযান চালায়, যেখানে স্রেব্রেনিৎসায় ৮,০০০-এর বেশি মুসলিম পুরুষ ও ছেলেকে হত্যা করা হয়।</t>
  </si>
  <si>
    <t>২০১৯ সালের আগস্ট মাসে এক ধর্মীয় গোষ্ঠী সংখ্যালঘুদের উপর সন্ত্রাস চালিয়ে ২৩ জন নিহত হয়।</t>
  </si>
  <si>
    <t>উগ্রবাদী হিন্দুরা পালিয়ে যাওয়া সাঁওতাল শরণার্থীদের উপর নির্বিচারে গুলি চালানো হয় যাতে ১৭ জন নিহত হন এবং কয়েকজন আত্মরক্ষার আশায় পাহাড় থেকে লাফিয়ে বাসার চেষ্টা করেন বা গুরুতর আহত হন।</t>
  </si>
  <si>
    <t>কোরআনকে অবমাননা করে আজ পর্যন্ত কেউ টিকে থাকেনি ভবিষ্যতে ও থাকবে না ইনশাআল্লাহ। সুদূর বাইতুললাহ শরীফ থেকে আপনারাও প্রতিবাদ ও তীব্র জানিয়েছেন এই জন্য আপনাদেরকে ধন্যবাদ জানাই। আর আপনাদের তিন জনের কাছে আমি ও পরিবারের সদস্যদের জন্য দোয়ার দরখাস্ত করছি। আল্লাহ পাক আমাদের মুসলিম উমমাহকে হিফাজত করুন ।</t>
  </si>
  <si>
    <t>আমার বান্ধবী এখন একজন সত্যিকারের বিলিভার। জায়নামাজে বসলেই আল্লাহর প্রতি কৃতজ্ঞতায় হাও মাও করে কাঁদে। অথচ এই বিশ্বাস এর ভীতটা গেড়ে দিয়েছিলেন একজন পাদ্রী।</t>
  </si>
  <si>
    <t>২০১৯ সালের জানুয়ারিতে ঢাকায় স্বামীনারায়ণ মন্দিরে হামলা হয় এবং দেয়ালে হিন্দুবিদ্বেষী স্লোগান লেখা হয়।</t>
  </si>
  <si>
    <t>দেশটির খ্রিস্টান মিলিশিয়া (Anti-Balaka) ও মুসলিম সশস্ত্র গোষ্ঠীর (Séléka) মধ্যে রক্তক্ষয়ী সংঘর্ষ চলে, যেখানে হাজার হাজার মানুষ নিহত ও বাস্তুচ্যুত হয়েছেন।</t>
  </si>
  <si>
    <t>ক্রুসেড যুদ্ধের সময় খ্রিস্টান ও মুসলিম বাহিনীর সংঘর্ষে লক্ষাধিক মানুষ প্রাণ হারায়, যা ধর্মের নামে পরিচালিত অন্যতম রক্তক্ষয়ী যুদ্ধ।</t>
  </si>
  <si>
    <t>খেমার রোজ সরকারের আমলে ১৩২টি মসজিদ ধ্বংস করা হয়। অনেক মসজিদ পাপাচারের কাজে ব্যবহার করে অপবিত্র করা হয়। মুসলমানদের ইবাদত করা বন্ধ করে দেয়া হয়। তাদের বাধ্য করা হয় শূকরের গোশত খেতে। যারা তা খেতে অস্বীকার করতো তাদের হত্যা করা হতো।</t>
  </si>
  <si>
    <t>চট্টগ্রামে পাহাড়ি এলাকায় বৌদ্ধ বিহারে গ্যাস সিলিন্ডার ছুঁড়ে অগ্নিকাণ্ড ঘটায় স্থানীয় চরমপন্থী দল।</t>
  </si>
  <si>
    <t>এটি শুধু ব্যক্তি নয়, আমাদের ধর্মের বিরুদ্ধে আক্রমণ। অনলাইনে প্রতিবাদ করুন, চুপ থাকা মানে বিশ্বাসের সঙ্গে বিশ্বাসঘাতকতা।</t>
  </si>
  <si>
    <t>এখন দেখছি আমাদের দেশে সকল ধর্ম ও সংস্কৃতির চর্চা রয়েছে, যা আগে শুধু ইসলামিক রাষ্ট্র হিসেবে ভাবতাম।</t>
  </si>
  <si>
    <t>আমার কেমন মুসলিম ভাই এক ভাই কে মারছে আর ভাই থাকিয়ে থাকছে।আজ আমার কোথায়। আল্লাহ তুমি এদের বিচার করো।</t>
  </si>
  <si>
    <t>নওগাঁর একটি মন্দিরে রাতের অন্ধকারে প্রবেশ করে ধর্মীয় গ্রন্থসমূহ ছিঁড়ে ফেলা হয়, এতে স্থানীয় হিন্দু সম্প্রদায় গভীর উদ্বেগ প্রকাশ করে।</t>
  </si>
  <si>
    <t>২৬ আগস্ট, সাতক্ষীরা সদরের শিবপুর ইউনিয়নের ১নং ওয়ার্ডের শিবপুর কানারডাঙা সার্বজনীন দুর্গা মন্দিরের নির্মাণাধীন দুর্গা প্রতিমা ভাঙচুর হয়। শুক্রবার রাত ১১টার পর ভাঙচুর চালানো হয় বলে অভিযোগ।</t>
  </si>
  <si>
    <t>কোরআন অবমাননাকারীকে কঠিন থেকে কঠিন শাস্তি দেওয়ার জোর দাবী জানাচ্ছি। যেন এমন দুঃসাহস আর কেউ না দেখাতে পারে।</t>
  </si>
  <si>
    <t>ঝালকাঠিতে ধর্মীয় উগ্রতাবাদের কারণে সংঘর্ষে ৪৫ জন প্রাণ হারায়। পুলিশ পরিস্থিতি নিয়ন্ত্রণে রাখতে ব্যর্থ হয়, সরকার শান্ত ও ধর্মীয় দায়িত্ববোধ বজায় রাখতে আহ্বান জানায়। আক্রান্ত সংখ্যালঘু পরিবার নিরাপত্তার জন্য আশ্রয় খুঁজে নেয়।</t>
  </si>
  <si>
    <t>খ্রিস্টান মিশনারিরা ধর্মান্তরের নামে ধর্মীয় ঐক্যকে ক্ষতিগ্রস্ত করছে এবং দেশে বিভাজন সৃষ্টি করছে।</t>
  </si>
  <si>
    <t>স্থানীয় একজন কর্মকর্তা বিবিসিকে বলেছেন, "চারটি মসজিদ, ৩৭টি বাড়িঘর, ৪৬টি দোকান এবং ৩৫টি গাড়িতে ভাঙচুর ও আগুন দেওয়া হয়েছে।"</t>
  </si>
  <si>
    <t>মহানবীকে অপমান করেছে নূপুর আর নবীন, ওদের শাস্তি না দিলে ইসলাম নিয়ে কটূক্তি থামবে না এরা ইসলামদ্রোহী কুকুর।</t>
  </si>
  <si>
    <t>এক ধর্মীয় গোষ্ঠী সংখ্যালঘুদের উপর কর চাপিয়ে দেয়, যারা দিতে ব্যর্থ হয় তাদের বাড়িঘর জ্বালিয়ে দেয়া হয়; এতে ২৬ জন মারা যান।</t>
  </si>
  <si>
    <t>শেরপুরে ধর্মীয় বিদ্বেষের জেরে সংঘর্ষে ৪৩ জন প্রাণ হারায়। পুলিশ শান্তি প্রতিষ্ঠার চেষ্টা করলেও সহিংসতা রোধ হয়নি। সরকার জনগণকে শান্ত ও ধর্মীয় দায়বদ্ধ থাকার আহ্বান জানায়। আক্রান্ত সংখ্যালঘু পরিবার অনেকেই নিরাপত্তার অভাবে আশ্রয় খুঁজে নেয়।</t>
  </si>
  <si>
    <t>যখন বিশ্ব উন্নতির পথে, তখন আমরা হাদিস ও ফতোয়া নিয়ে বিভ্রান্ত ছিলাম, এমন ধর্মীয় গোঁড়ামিই আজ বাংলাদেশে চিন্তার স্বাধীনতা ও প্রগতির পথ রুদ্ধ করে রেখেছে।</t>
  </si>
  <si>
    <t>কক্সবাজারে হাফিজের সৈন্যরা একযোগে হামলা চালিয়ে একদিনে ১ হাজার মুসলিম বন্দিকে হত্যা করে এবং তাদের লাশ কবরস্থানে ফেলে দেয়।</t>
  </si>
  <si>
    <t>২৫ মার্চ ২০২৪ চাঁপাইনবাবগঞ্জের ভোলাহাটে একটি বিষ্ণুমন্দিরে হামলা চালিয়ে মন্দিরের সামনে রাখা পাথরের ঘোড়ামূর্তি গুঁড়িয়ে দেয়া হয়</t>
  </si>
  <si>
    <t>রাজশাহীর বুজরুক কোলায় এখনো আতঙ্ক, সংখ্যালঘুদের আবার হামলার হুমকি দুর্গাপূজা বয়কট করবে এলাকাবাসী</t>
  </si>
  <si>
    <t>সিরাজগঞ্জ উপ-বিভাগের বাগবাটি ইউনিয়নে ২০০ শতাধিক নিরস্ত্র বাঙালি হিন্দুদের শীতল রক্তপাতকে বোঝায়। গণহত্যার পরে মৃতদেহগুলি গণকবর বা ফেলে দেওয়া হয়।</t>
  </si>
  <si>
    <t>এই দেশে কিছু ইসলামবিদ্বেষী গোষ্ঠী ধর্মীয় উৎসব পালন করলেই স্বাধীনতাবিরোধী বলে অপবাদ দেয়, এরা নিজেই জাতির শত্রু।</t>
  </si>
  <si>
    <t>বাংলাদেশের বিভিন্ন অঞ্চলে ধর্মীয় বিশ্বাসে পরিবর্তন এলেও বাংলায় ধর্মচর্চা একটি গুরুত্বপূর্ণ ভূমিকা রেখেছে এবং পরবর্তীতে ধর্মীয় প্রভাব কমে গেলে সমাজে নতুন রাজনৈতিক ভাবনার বিকাশ ঘটে।</t>
  </si>
  <si>
    <t>হিন্দু সম্প্রদায়ের অনেকেই অন্য ধর্মের উৎসবকে অবজ্ঞা করে, যা ধর্মীয় সহনশীলতার জন্য মারাত্মক প্রতিবন্ধকতা সৃষ্টি করছে।</t>
  </si>
  <si>
    <t>সুষ্ঠু তদন্তের মাধ্যমে প্রকৃত জড়িতদের দ্রুত গ্রেপ্তার করে আইনের আওতায় এনে সর্বোচ্চ শাস্তির দাবি জানাচ্ছি। আপনি আপনার ধর্ম পালন করুন, কিন্তু অন্য ধর্মকে অবমাননা করে নয়।</t>
  </si>
  <si>
    <t>কুষ্টিয়ার কুমারখালীতে একটি স্কুলের প্রধান শিক্ষককে ধর্মীয় অনুভূতিতে আঘাতের অভিযোগ এনে তার বাড়িতে হামলা ও ভাঙচুরের ঘটনায় উদ্বেগ জানিয়েছে হিউম্যান রাইটস ফোরাম বাংলাদেশ</t>
  </si>
  <si>
    <t>এর মধ্যেই ২০২০ সালের ৩০ অক্টোবর সাম্প্রদায়িক সন্ত্রাসের ভয়ঙ্কর এক ঘটনা পুরো বাংলাদেশকে স্তম্ভিত করে দেয়। সেদিন সন্ধ্যায় ‘কোরআন অবমাননার’ অভিযোগ তুলে এসে লালমনিরহাটের পাটগ্রাম উপজেলার বুড়িমারী বাজারে পিটিয়ে ও আগুনে পুড়িয়ে হত্যা করা হয় আবু ইউনুস মো. সহিদুন্নবী জুয়েল নামের এক ব্যক্তিকে।</t>
  </si>
  <si>
    <t>কোরআন অবমাননার বিরুদ্ধে দল-মত নির্বিশেষে সকলে বজ্র কণ্ঠে প্রতিবাদ ঈমানী দায়িত্ব!</t>
  </si>
  <si>
    <t>যোগেন্দ্র ঘোষকে নির্মমভাবে হত্যা করা হয়, অনেক হিন্দু আহত হন। সিজেরকাছ এলাকার হিন্দু বাড়ি লুটপাট ও ধর্মান্তরিত করা হয়। বিমল স্মৃতিতীর্থ ইসলাম গ্রহণ না করায় নির্মমভাবে নির্যাতিত হন। ব্রাহ্মণদের মাথার টিকি ছিঁড়ে ফেলা হয় এবং মন্দির ও মূর্তি ধ্বংস করা হয়।</t>
  </si>
  <si>
    <t>কেউ নিজের ধর্মের সম্মান করলে অন্য ধর্ম সম্পর্কে এত বাজে মন্তব্য করতে পারবে না। আমি সনাতন ধর্মাবলম্বী হলেও আজকাল সেটা বলতে দ্বিধা হয়।</t>
  </si>
  <si>
    <t>শবেবরাতের পবিত্রতা ও ধর্মীয় মর্যাদা নিয়ে বাজে মন্তব্য গ্রেফতার করা হবে আকরামুজ্জামানকে</t>
  </si>
  <si>
    <t>হামলার পর একটি ভিডিও বার্তায় হামলাকারী বলেন, আল্লাহু আকবর। আমার নাম আবদেসালেম আল গিলানি এবং আমি আল্লাহর একজন যোদ্ধা।</t>
  </si>
  <si>
    <t>তারা মূলত বলেছে, কোরআন অবমাননার ঘটনা সহিংসতায় উসকানি দেয়ার পর্যায়ে পড়ে এবং এজন্য সংশ্লিষ্ট দেশগুলোর সরকারের প্রতি জবাবদিহিতা নিশ্চিতের আহ্বান জানিয়েছে। এ ছাড়া বেশ কয়েকটি দেশে রাস্তায় নেমে বিক্ষোভ দেখিয়েছে সাধারণ মুসলিমরা।</t>
  </si>
  <si>
    <t>দুনিয়ার পেছনে দৌড়ঝাঁপ না করে আখিরাতের পিছনে সর্বশক্তি নিয়োগ করা প্রয়োজন। তাহলে দুনিয়া আখিরাত দূইটাই পাওয়া যাবে।</t>
  </si>
  <si>
    <t>সেদিন রাতে এক বিবৃতিতে ইসকন বাংলাদেশের পক্ষ থেকে বলা হয়েছে সনাতনী সংগঠন হিসেবে, বাংলাদেশের সংখ্যালঘু সম্প্রদায়ের, যেমন- হিন্দু, বৌদ্ধ, খ্রিস্টান ও অন্যান্যদের ধর্মীয় স্বাধীনতা এবং অধিকার রক্ষায় কাজ করেন তারা</t>
  </si>
  <si>
    <t>বাংলাদেশে একজন ধর্মপ্রাণ, সাহসি ও দেশপ্রেমিক নেতা খুব দরকার, যিনি আল্লাহর রহমতে দেশকে সৎ পথে এগিয়ে নিয়ে যাবেন এবং মানুষের কল্যাণে কাজ করবেন ইনশাআল্লাহ।</t>
  </si>
  <si>
    <t>শ্রদ্ধা এবং সহনশীলতা ধর্মীয় সহাবস্থানের জন্য গুরুত্বপূর্ণ।</t>
  </si>
  <si>
    <t>হাশরের ময়দানে আল্লাহ ইচ্ছা করলে আত্মহত্যাকারীকে দয়া করে মাফ করে দিতে পারেন, কারণ শিরক ছাড়া অন্য গুনাহ তিনি ক্ষমা করেন।</t>
  </si>
  <si>
    <t>খুলনা লঞ্চঘাটে কমপক্ষে ২০০-৩০০ হিন্দুকে নির্মমভাবে হত্যা করে মুসলিম হত্যাকারীরা।[৯] খুলনা থেকে চালনা পর্যন্ত রাস্তার দু’দিকে থাকা প্রতিটি হিন্দু জনপদ,গ্রাম ধ্বংস করে দেয় মুসলিমরা। ৪ জানুয়ারি মোংলায় হিন্দু হত্যাযজ্ঞের বিস্তার লাভ করে।[৭] মোংলা বন্দরে ৩০০ হিন্দুকে নির্মমভাবে হত্যা করা হয়।</t>
  </si>
  <si>
    <t>ব্যাপটিস্ট গির্জাগুলোর মধ্যে কেন্দ্রীয় নিয়ন্ত্রণ না থাকায় তাদের ধর্মীয় বিশ্বাস ও চর্চায় ভিন্নতা দেখা যায়, যা তাঁদের নিজস্ব ধর্মীয় ব্যাখ্যা ও স্বাধীনতার প্রতিফলন।</t>
  </si>
  <si>
    <t>সংখ্যালঘু হিন্দুরা প্রায়ই হামলার শিকার হয় ধর্মীয় উগ্রবাদীদের দ্বারা। খ্রিস্টান ধর্মপ্রচারকেরা অনেক সময় তাদের জোর করে ধর্মান্তর করতে চায় যা সরাসরি ধর্মীয় নিপীড়নের উদাহরণ।</t>
  </si>
  <si>
    <t>আগস্ট থেকে ডিসেম্বর পর্যন্ত বাংলাদেশে ধর্মীয় সহিংসতায় প্রাণ হারিয়েছেন তিনজন । এই সময়ে কয়েকটি মন্দির ও হিন্দু বসতবাড়িতে হামলা ও অগ্নিসংযোগের ঘটনাও ঘটে।</t>
  </si>
  <si>
    <t>আমি চঞ্চল চৌধুরীকে পছন্দ করি তার অভিনয়ের মাধ্যমে,সে হিন্দু কি মুসলিম তা বিবেচনা করে নয়।</t>
  </si>
  <si>
    <t>ধর্মীয় মানবাধিকারের প্রতি অঙ্গীকার থাকা সত্ত্বেও, বিশ্বব্যাপী ধর্মীয় নিপীড়ন আশ্চর্যজনক হারে বৃদ্ধি পাচ্ছে। ধর্ম বা বিশ্বাসের কারণে নির্যাতিত মানুষের সংখ্যা সঠিকভাবে নির্ধারণ করা কঠিন হলেও, ধর্মীয় স্বাধীনতা লঙ্ঘন ও গুরুতর নিপীড়ন ঘটছে ব্যাপকভাবে।</t>
  </si>
  <si>
    <t>আমার মাথাব্যথার কারণ হল আপনার ধর্মের সব চেয়ে সম্মানিত মানুষ যিনি আপনার জন্মের ১৪০০ বছর আগে রাতভর নামাজে দাঁড়িয়ে আপনার জন্য কাঁদতে কাঁদতে ক্ষমাপ্রার্থনা করে গেছেন,</t>
  </si>
  <si>
    <t>পতাকা আর ধর্মগ্রন্থ পোড়ানো একই অপরাধ। এবার ধর্মগ্রন্থ নিয়ে বাড়াবাড়ি আর কথা বললে বুঝবো আসলেই মুসলমানরা ধর্মান্ধ</t>
  </si>
  <si>
    <t>ধর্মীয় উসকানি আখ্যায়িত করে পার্শ্ববর্তী চার গ্রামের মানুষ ঝুমনের বিরুদ্ধে ১৬ মার্চ রাতে বিক্ষোভ মিছিল করে। পরিস্থিতি নিয়ন্ত্রণে আনতে পুলিশের নির্দেশে নোয়াগাঁও গ্রামের মানুষই রাতেই ওই যুবককে আটক করে। ১৭ মার্চ সকালে কাশিপুর গ্রামের মসজিদের মাইক থেকে নোয়াগাঁও গ্রামে গিয়ে হামলা চালানোর ঘোষণা দেওয়া হয়।</t>
  </si>
  <si>
    <t>জৈন ধর্মের মূলমন্ত্র ‘অহিংসা পরমো ধর্ম’, যার অর্থ সকল জীবের প্রতি দয়ালু হওয়া সর্বোচ্চ ধর্ম।</t>
  </si>
  <si>
    <t>১৯৬২ সালে রাজশাহীর দারুসা গ্রামে ধর্মীয় দাঙ্গার সময় হিন্দুদের বাড়ি আগুনে পুড়িয়ে দেওয়া হয়েছিল। ধর্মীয় উত্তেজনা মোকাবেলায় হিন্দু মুসলিমরা মিলেই শান্তি কমিটি গঠন করে।</t>
  </si>
  <si>
    <t>২০১৯ সালের ফেব্রুয়ারিতে ধর্মীয় ভিন্নমতের কারণে এক চিকিৎসককে কেটে হত্যা করা হয়; তার স্ত্রী মানসিক বিপর্যস্ত হয়ে আত্মহত্যা করে; ঘটনায় মোট ১১ জন নিহত।</t>
  </si>
  <si>
    <t>আচ্ছা, প্রাচীন কালে হিন্দু ধর্মে মূর্তি পূজা আবিষ্কার বা শুরু হওয়ায় আগে, বিভিন্ন দেব দেবীকে যন্ত্র এঁকে তাদের উপাসনা ও পুজা করা হতো , এই বিষয়ে একটি ডিটেইল পডকাস্ট চাই।</t>
  </si>
  <si>
    <t>সেদিন অনেক হিন্দু নারী ধর্ষণ এবং হাজার হাজার হিন্দু ধর্মান্তরিত হয়েছেন।</t>
  </si>
  <si>
    <t>দুপুরে মুসলিমদের মিছিল থেকে 'হিন্দুদের হত্যা কর' স্লোগান উঠে। বিকেলে হিন্দু নিধন শুরু হয়। চার ঘণ্টা ধরে চলে ধর্মীয় সহিংসতা, রাত আটটায় জারি হয় সান্ধ্য আইন।</t>
  </si>
  <si>
    <t>সালাম নিয়ে কটুক্তি মানতে পারি না। আপনার সুশীল আমি এখনও হতে পারিনি। ইসলাম নিয়ে বাজে কথা না বললেই হবে।</t>
  </si>
  <si>
    <t>সংখ্যালঘুদের শারদোৎসবের মুখে ফের হামলার মুখে সংখ্যালঘু হিন্দুরা। সোমবার রাতে ফরিদপুর উপজেলার কইজুরি ইউনিয়নের তাম্বুলখানা বাজারে নির্মিয়মান দুর্গাপ্রতিমা ভাঙচুর করে দুষ্কৃতীরা।</t>
  </si>
  <si>
    <t>ধর্ম অবমাননার অভিযোগে একটি থানা পুড়িয়ে দিয়েছে বিক্ষুব্ধ জনতা। স্থানীয় সময় রোববার দেশের উত্তরাঞ্চলের কুড়িগ্রাম জেলায় এই ঘটনা ঘটে।</t>
  </si>
  <si>
    <t xml:space="preserve">কুমিল্লায় পুজা মন্ডপে মুর্তির পায়ের উপর যে এই সর্বশ্রেষ্ঠ মহাগ্রন্থ আল কুরআন রেখেছে আমি তার ভয়ঙ্কর মরণ কামনা করছি। </t>
  </si>
  <si>
    <t>ধর্মীয় গাথা বা মন্ত্র পাঠ করে উৎসর্গ করে খালি পায়ে বৌদ্ধরা ফানুস উড়িয়ে দেন। মন্ত্রপাঠের মাধ্যমে সাধু-ধ্বনির সুরে সুরে ফানুস উড়ানো হয়।</t>
  </si>
  <si>
    <t>১৮ ফেব্রুয়ারি সকালে বহু মেয়েকে ধর্মীয় নামে সিলেট সদর এলাকায় মুসলিমরা ধর্ষণ করে; বিচার চাইলেও পুলিশ মিমাংসার জন্য টাকা দাবি করে।</t>
  </si>
  <si>
    <t xml:space="preserve">আল কুরআন এবং রাসুলুল্লাহ সাঃ এর বলে যাওয়া হাদিসগুলোর বৈজ্ঞানিক গবেষণা ও এ যুগের বিজ্ঞানীদের পাওয়া তথ্যসমূহ ও বিশ্লেষন মিলে যাওয়া সকল তথ্যগুলো এতো সুন্দর করে সুস্পষ্ট শব্দচয়ণের মাধ্যমে বিশ্লেষণ করার জন্য আপনাকে আন্তরিক ভাবে ধন্যবাদ। </t>
  </si>
  <si>
    <t>আল্লাহ ও রাসুলকে ভালোবাসলে জান্নাতে প্রবেশ করতে হলে নিয়মিত নামাজে মগ্ন হতে হবে এবং আল্লাহর প্রতি ভালোবাসায় পাগল হতে হবে। তাহলে আপনি আশেক হতে পারবেন।</t>
  </si>
  <si>
    <t>৩ মার্চ বাংলাদেশ হাইকোর্ট নোয়াখালী জেলার হিন্দুদের সুরক্ষা এবং হামলায় ক্ষতিগ্রস্ত মন্দির ও বাড়ি মেরামতের নির্দেশ দেয়। পুলিশ ও প্রশাসনকে হামলাকারীদের বিরুদ্ধে ব্যবস্থা নিতে বলা হয়।</t>
  </si>
  <si>
    <t>ধর্ম পালন করার আগে রক্ষা আগে করতে হয়। হিন্দু অনুসারী বাড়ালেই রক্ষা করা সম্ভব হবে। ধর্ম ও জাতির প্রতি শ্রদ্ধা দেখে বিবেকের তাড়নায় অনেকেই কাজ করে।</t>
  </si>
  <si>
    <t>কুষ্টিয়ায় হিন্দু-মুসলিম সংঘর্ষে অন্তত ৩৩ জন নিহত হন এবং বহু মানুষ আহত হয়।</t>
  </si>
  <si>
    <t>আপনার বই যদি সনাতন ধর্মাবলম্বীদের মধ্যে বিভেদ সৃষ্টি করে, তাহলে অন্য ধর্মাবলম্বীরা কীভাবে আপনার মতাদর্শকে সম্মান করবে?</t>
  </si>
  <si>
    <t>১৯৪৯ সালে সমগ্র ঢাকা অঞ্চলে বাঙ্গালী হিন্দুদের সব চেয়ে বড় ধর্মীয় উৎসব দুর্গাপূজার বিরুদ্ধে পোস্টার লাগানো হয়। বিজয়া দশমীর দিনে শত শত হিন্দু বাড়ি ঘরে অগ্নি সংযোগ করে মুসলিমরা।</t>
  </si>
  <si>
    <t>সব মানুষের মতের ভিন্নতা থাকে, কেউ কিছু বললে কষ্ট না পেয়ে ধৈর্য ধরাই উত্তম। ধর্মও আমাদের শিক্ষা দেয় সহনশীলতা ও ক্ষমা করতে। আল্লাহ সব দেখেন এবং বিচার করবেন।</t>
  </si>
  <si>
    <t>ঝিনাইদহে হিন্দু-মুসলিম সংঘর্ষে অন্তত ২৭ জন প্রাণ হারায় এবং সংঘর্ষে ব্যবহৃত হয় আগ্নেয়াস্ত্র।</t>
  </si>
  <si>
    <t>অক্টোবর মাসে এসে নোয়াখালীতে হিন্দু গনহত্যা এবং জোরপূর্বক ধর্মান্তকরনের মত ঘৃণ্য বর্বরতা মুসলিমরা বন্ধ করলেও অন্য আরও উপায়ে আর্ত হিন্দু জন গোষ্ঠীর উপর নির্যাতনের ষ্টীম রোলার চালানো তারা বন্ধ করেনি।</t>
  </si>
  <si>
    <t>কিশোরগঞ্জে হিন্দু-মুসলিম সংঘর্ষে পুলিশের গুলিতে অন্তত ৫ জন নিহত হন। সংঘর্ষের সময় ধ্বংসযজ্ঞ ও অগ্নিসংযোগ ঘটে।</t>
  </si>
  <si>
    <t>তারা তাদের ধর্মীয় বিশ্বাস এমন এক কল্পিত বা বাস্তবতাহীন চরিত্রকে কেন্দ্র করে গড়ে তুলেছে, এটা আমার কাছে খুব বেশি জটিল বা বোঝা কঠিন কিছু নয়।</t>
  </si>
  <si>
    <t>নেত্রকোনার একটি পূজামণ্ডপে ভয়াবহ হামলা চালিয়ে প্রতিটি প্রতিমা ভেঙে ধ্বংসস্তূপে পরিণত করা হয়।</t>
  </si>
  <si>
    <t>বাংলাদেশে ধর্মীয় অনুভূতিতে আঘাত এবং পবিত্র প্রতীক নষ্টের অভিযোগে ব্যাপক বিক্ষোভ হয়েছে যেখানে হাজারো মানুষ ধর্মীয় অবমাননা ও নিপীড়নের বিরুদ্ধে প্রতিবাদে রাস্তায় নেমে আসে।</t>
  </si>
  <si>
    <t>বিভিন্ন ধর্মের পবিত্র ইতিহাস ও আখ্যান রয়েছে, যা পবিত্র গ্রন্থ, প্রতীক ও পবিত্র স্থানগুলোতে সংরক্ষিত হতে পারে, যার প্রাথমিকভাবে উদ্দেশ্য জীবনের অর্থ প্রদান।</t>
  </si>
  <si>
    <t>যদিও ইসলামের মধ্যে অনেক সাম্প্রদায়িক আন্দোলনের উদ্ভব হয়েছে, তবে সমস্ত মুসলমান একটি অভিন্ন বিশ্বাস এবং একক সম্প্রদায়ের অন্তর্গত বোধ দ্বারা আবদ্ধ ।</t>
  </si>
  <si>
    <t>প্রার্থনা করলে শুধু ঈশ্বরের কাছে কিছু চাওয়া হয় না, বরং নিজের আত্মার সঙ্গে যোগাযোগও গড়ে ওঠে।</t>
  </si>
  <si>
    <t>ঝালকাঠিতে ধর্মীয় উগ্রতা থেকে সংখ্যালঘু হিন্দু সম্প্রদায়ের ওপর হামলায় অন্তত ৩৭ জন নিহত হন।</t>
  </si>
  <si>
    <t>গৌতম বুদ্ধ বলেছেন, এক ও একক সৃষ্টিকর্তা ব্যতীত আর কোন ইশ্বর বা ভগবান নেই, যিনি তার সর্বোচ্চ ডাইমেনশনে অবস্থান করে বাকি সব ডাইমেনশনকে নিয়ন্ত্রণ করছেন।</t>
  </si>
  <si>
    <t>ফরিদপুরে হিন্দু ও মুসলিমদের মধ্যে সাম্প্রদায়িক উত্তেজনা থেকে সংঘর্ষ ছড়িয়ে পড়ে। সংঘর্ষে ৩১ জন নিহত হন এবং বহু মানুষ আহত হয়।</t>
  </si>
  <si>
    <t>৩০এ অক্টোবর ২০১৬-তে এক হিন্দু জেলে রসরাজ দাস দ্বারা ইসলামের বিরুদ্ধে পোস্ট করার অভিযোগ করে এই হামলা করা হয়। এতে ১৯টি মন্দির হামলার শিকার হয় এবং প্রায় ৩০০টি বাড়ি ভাঙচুর ও ১০০ জনের উপরে হিন্দু আহত হয়।</t>
  </si>
  <si>
    <t>ইতিহাস সাক্ষী, ধর্মীয় বিভেদের নামে বহুবার হত্যাযজ্ঞ ঘটেছে যেখানে নিরীহ মানুষ প্রাণ হারিয়েছে, আজও বাংলাদেশসহ বিভিন্ন জায়গায় ধর্মীয় পরিচয়ের কারণে প্রাণনাশের ঘটনা ঘটছে।</t>
  </si>
  <si>
    <t>মি: আহমদ বলেন, ফেসবুকে ধর্ম অবমাননার অভিযোগের পর হিন্দুদের বাড়িঘর ও মন্দিরে হামলা হয়েছে, নড়াইলের ঘটনাও একই রকম।</t>
  </si>
  <si>
    <t>কোনো ধর্মকে অবমাননা করা যাবে না। আমি মুসলিম৷ তবে হিন্দু ভাইদের ও সম্মান করি। আমরা হিন্দু মুসলিম মিলে ঐক্যবদ্ধ হয়ে সুন্দর দেশ গড়ব।</t>
  </si>
  <si>
    <t>হিন্দু সম্প্রদায়ের কিছু অংশ ধর্মীয় উগ্রতা ছড়িয়ে অন্য ধর্মের প্রতি বিদ্বেষ ও অবজ্ঞা প্রদর্শন করে।</t>
  </si>
  <si>
    <t>২০১৬ সালের নাসিরনগরের সাম্প্রদায়িক সহিংসতায় ইসলামিক উগ্রপন্থীরা সংখ্যালঘু হিন্দু সম্প্রদায়ের উপর হামলা চালায়।</t>
  </si>
  <si>
    <t>খ্রিস্টান সম্প্রদায়ের কিছু গোষ্ঠী ধর্মান্তরের নামে স্থানীয় সংস্কৃতি ও ঐতিহ্যকে ধ্বংস করার চেষ্টা চালাচ্ছে, যা দেশের ঐক্যবদ্ধতাকে ভাঙছে।</t>
  </si>
  <si>
    <t>৭ মে ২০২৫ নীলফামারীর সৈয়দপুরে একটি দুর্গামন্দিরে প্রতিমার গায়ে লাল রং ছিটিয়ে বিকৃতি সৃষ্টি করা হয় এবং মূর্তির একপাশ ভেঙে ফেলা হয়</t>
  </si>
  <si>
    <t>গ্রামবাসীরা পূজার আয়োজন করতে ছিল।গ্রামের পশ্চিম দিকের শতবছরের পুরনো চণ্ডী মণ্ডপে, ভক্তরা পীতলের প্রতিমাগুলো পরিষ্কার এবং ঘষামাজা করছিল। তরুণ ছেলেমেয়েরা উপাসনার জন্য ফুল সংগ্রহ করছিল। হঠাৎ, উগ্রবাদীরা নৌকা থেকে গুলি চালানো শুরু করে নিরীহ হিন্দুদের উপর।</t>
  </si>
  <si>
    <t>ধর্মীয় অনুভূতির দোহাই দিয়ে মন্দির ও প্রতিমা ভাঙা ন্যায়সঙ্গত নয় বরং এটি একতরফা সহিংসতা যা দেশে ধর্মের নামে বিভাজন ও ঘৃণা ছড়ায়।</t>
  </si>
  <si>
    <t>উগ্র ধর্মীয় গোঁড়ামি মানুষের মনে ঘৃণা জন্ম দিয়েছে, যার ফলস্বরূপ বহু হত্যাকাণ্ড সংঘটিত হয়েছে এবং শান্তি বিনষ্ট হয়েছে।</t>
  </si>
  <si>
    <t>ইসলাম-পূর্ব যুগ থেকে আরবের বিভিন্ন ধর্মের মানুষ ‘আল্লাহ’ শব্দটি ব্যবহার করে আসছে, বিশেষ করে মুসলিম ও আরব খ্রিস্টানরা।</t>
  </si>
  <si>
    <t>তথাকথিত সুশীলরা ইসলাম মানে হুজুর দেখলেই গালি দেয়, কিছু ঘটনার অজুহাতে পুরো ধর্মকে অপমান করে—এসব নাফরমানদের উচিত মুসলমানদের কাছ থেকে মুখ লুকিয়ে চলা।</t>
  </si>
  <si>
    <t>লোহারা সাম্রাজ্যের শেষ হিন্দু রাজা হর্ষ (১০৮৯-১১০১) আরেকটি ধর্মীয় নিবর্তনমূলক নিয়ম চালু করেন। তিনি একাধারে হিন্দু মন্দির ও বৌদ্ধ মঠগুলো ধ্বংস করা শুরু করেন।</t>
  </si>
  <si>
    <t>র্বিত্তরা ঢাকার ভোলানাথগিরি আশ্রমেও আক্রমণ,লুটপাট ও ভাংচুর চালায়। পুরনো ঢাকার হিন্দু মালিকানাধীন স্বর্ণের দোকানগুলোতে লুটপাট করে মুসলিমরা।রায়েরবাজারের হিন্দু বাড়িঘর লুট করে আগুন ধরিয়ে দেয় তারা।</t>
  </si>
  <si>
    <t>হজরতবাল ঘটনার গুজব ছড়ানোর পর মুসলিমরা নাটোর প্রকৌশল ও প্রযুক্তি বিশ্ববিদ্যালয়ের হিন্দু ছাত্রাবাসে পাথর নিক্ষেপ করে।</t>
  </si>
  <si>
    <t>ফরিদগঞ্জে এক ধর্মীয় গোষ্ঠী সংখ্যালঘুদের নাগরিকত্ব বাতিল করে; অসুস্থতা ও দারিদ্র্যে ৫৫ জন মারা যান।</t>
  </si>
  <si>
    <t>মুসলিম পন্ডিতরা সাধারণত জীবনীমূলক সাহিত্যের পরিবর্তে হাদীস সংকলনগুলোর উপর বেশি গুরুত্ব আরোপ করেন। এর কারণ, হাদিসগুলোতে একটি ঐতিহ্যবাহী সনদ (পরম্পরা) বজায় থাকে।</t>
  </si>
  <si>
    <t>ধর্ম মানুষকে আধ্যাত্মিকতায় সমৃদ্ধ করে, ন্যায় ও সত্যের পথে চালায় এবং জীবনে স্থিরতা, সম্মান ও আত্মিক বন্ধন গড়ে তোলে।</t>
  </si>
  <si>
    <t xml:space="preserve">১৯৭০ সালে  সুনামগঞ্জের মুদ্দাপাড়ায় হিন্দু-মুসলিম সংঘর্ষে শতাধিক মানুষ নিহত হন। বেশিরভাগ নিহতরাই ছিলেন মুসলিম।  </t>
  </si>
  <si>
    <t>রংপুরের গঙ্গাচড়ায় কয়েকশো মানুষ একটি হিন্দু গ্রামে হামলা করার সময় পুলিশের পাল্টা গুলিতে অন্তত এক জন নিহত হয়েছে।</t>
  </si>
  <si>
    <t>খুলনায় একটি হিন্দু পূজার মণ্ডপে ভয়াবহ হামলা চালিয়ে প্রতীকীয় দেবদেবীর মূর্তি ভেঙে গুঁড়িয়ে দেয় দুর্বৃত্তরা।</t>
  </si>
  <si>
    <t>মুসলমানদের উপাসনালয় ও ধর্মীয় প্রতীক লক্ষ্য করে হামলা চালিয়ে হিন্দুদের দ্বারা প্রায়শই ধর্মীয় ভাংচুর ও সহিংসতা সংঘটিত হয়</t>
  </si>
  <si>
    <t>দেশটির চরমপন্থী মুসলিম গোষ্ঠীগুলো আহমদিয়া মুসলিম সম্প্রদায়ের উপর হামলা চালিয়ে বেশ কয়েকজনকে হত্যা করে।</t>
  </si>
  <si>
    <t>নরসিংদীতে ধর্মীয় বিরোধ থেকে সংঘর্ষে ৪৪ জন নিহত হন। পুলিশ সহিংসতা দমনে ব্যর্থ হলেও সরকার শান্ত থাকার আহ্বান জানায়। আক্রান্ত সংখ্যালঘু পরিবার নিরাপত্তার কারণে গ্রাম ত্যাগ করে।</t>
  </si>
  <si>
    <t>একদল ধর্মবিদ্বেষী মন্দিরে হামলা চালিয়ে বুদ্ধের মূর্তি ভেঙে ফেলে, পবিত্র স্থান দখল করে স্কুল ও কার্যালয় বানিয়েছে, যেন ধর্মীয় বিশ্বাসকে মুছে দিয়ে নিজেদের ক্ষমতা জাহির করতে পারে।</t>
  </si>
  <si>
    <t>রংপুরে ধর্মীয় দাঙ্গায় সংখ্যালঘু সম্প্রদায়ের ওপর হামলায় অন্তত ৪১ জন নিহত হন। হামলাকারীরা তাদের বাড়িঘর ও মন্দির পুড়িয়ে দেয়।</t>
  </si>
  <si>
    <t>নওমুসলিম বলেই তাকে আটকে রাখা হয়েছে, এটা ইসলামবিদ্বেষ ছাড়া আর কিছু নয়।</t>
  </si>
  <si>
    <t>তিনটি বিশ্ববিদ্যালয়ের এবং একটি কলেজের ছয় জন ছাত্রছাত্রীর ছাত্রত্ব বাতিলের অপচেষ্টা চালানো হচ্ছে কারণ তারা সবাই হিন্দু ধর্মাবলম্বী। তাদের ফেসবুক হ্যাক করে ধর্ম অবমাননার গুজব ছড়িয়ে তাদেরকেই ফাঁসানোর চেষ্টা করা হচ্ছে।</t>
  </si>
  <si>
    <t>তিনি স্কুলের ধর্মশিক্ষায় ইসলামের হারাম-হালাল বিধান পড়াচ্ছিলেন।</t>
  </si>
  <si>
    <t>ধর্মীয় প্রিজম দিয়ে দেখলে এমন‌ই মনে হবে আপনার। শান্তি কামী কোন হিন্দু মুসলিম এসব করে না, করার কথাও না, কারন আমি ভালোভাবেই জানি আমার পাড়ার দেবব্রত মজুমদারের সাথে আমার সম্পর্ক কেমন ?</t>
  </si>
  <si>
    <t>হিন্দু তথা সনাতন ধর্মের মধ্যে মত ও পথ একটাই। ঈশ্বরের বানী এবং মুক্তির পথ সনাতন তথা হিন্দুদের একেশ্বরবাদ ঈশ্বরের উপাসনার নিয়ম-বিধি এবং একজন মানুষের ঈশ্বরের আরাধনার জন্য এই পৃথিবীতে, সমাজে, ধর্মে তথা বিশ্বব্রহ্মাণ্ডে কী করা উচিত, তা স্পষ্টভাবে বর্ণনা করা হয়েছে।</t>
  </si>
  <si>
    <t>অন্য ধর্মের লোকদের বিরুদ্ধে যুদ্ধ করার বদলে, তাদের প্রতি শ্রদ্ধা এবং সহানুভূতি প্রকাশ করা উচিত।</t>
  </si>
  <si>
    <t>ধর্মান্ধতার অন্ধকার নয়, বাঙালির আত্মপরিচয়ের সন্ধান করতে হবে</t>
  </si>
  <si>
    <t>১৩ই অক্টোবর, নোয়াখালীর হাতিয়ায় একাধিক হিন্দু মন্দির ও পূজামণ্ডপে ধারাবাহিক হামলা চালানো হয় এবং হিন্দুদের ৪-৫টি ঘর ভাঙচুর করে।</t>
  </si>
  <si>
    <t>১৯৪৬ সালের ১০ অক্টোবর উত্তর নোয়াখালীর রায়গঞ্জ থানার কিছু এলাকায় গণহত্যা শুরু হয়, যা "মুসলিম উচ্ছৃঙ্খল জনতার সংগঠিত ক্রোধ" হিসেবে বর্ণিত।</t>
  </si>
  <si>
    <t>ফেসবুকে ঢুকলেই ধর্ম নিয়ে নেগেটিভ  পোস্ট দেখি শুধু। আর বেশিরভাগই ইসলাম ধর্ম নিয়ে। এসব পোস্ট আমার তেমন কাজে আসবে না।</t>
  </si>
  <si>
    <t>সকালে মন্দিরে এসে দেখতে পাই গনেশ মূর্তির মাথার অংশ, লক্ষ্মীর দুই হাত ও দেবী দুর্গার বাম হাত ভাঙা। বিষয়টি প্রশাসনকে জানানো হয়েছে।</t>
  </si>
  <si>
    <t>এছাড়া মিথ্যা মামলায় সম্প্রদায়টির ৯৬ জনকে গ্রেপ্তার, বরখাস্ত, চাকরিচ্যুত ও জেল-জরিমানা, ৮০২টি পরিবারকে অবরুদ্ধ করা, ৫৭টি ধর্মীয়প্রতিষ্ঠান অপবিত্রকরণ, ৬০টি ধর্মীয় অনুষ্ঠান পালনে বাধা, ১০০ জনকে ধর্মীয় নিষিদ্ধ গরুর মাংস খাওয়ানোর ঘটনা ঘটেছে। মোট ৬৩৮টি আলাদা ঘটনায় ক্ষতি হয়েছে ১৫২ কোটি ৩৫ লাখ ৫৫ হাজার টাকার।</t>
  </si>
  <si>
    <t>পিরোজপুর জেলার বান্দরবান উপজেলায়, ৫ জানুয়ারীর জাতীয় নির্বাচনের পর ১২ তারিখ ইসলামী মৌলবাদীরা প্রাচীন দুর্গা মন্দিরে অগ্নিসংযোগ করে। সেইসব মৌলবাদীরা মন্দিরকে ভষ্মীভুত করে দেয়।</t>
  </si>
  <si>
    <t>মুসলিম বাহিনী উত্তর-পশ্চিমাঞ্চলে অনেক আক্রমণ চালিয়ে বিভিন্ন স্থাপনা ধ্বংস ও নাম পরিবর্তন করেছিল। উদাহরণস্বরূপ, ১১৯৭ সালে ওদন্তপুরীর মঠ ও ১২০০ সালের দিকে বিক্রমশীলা ধ্বংস হয় এবং মহাবোধি মন্দিরও প্রায় সম্পূর্ণরূপে ধ্বংস হয়।</t>
  </si>
  <si>
    <t>ইসলামিক কোনো গ্রুপ বা দল গঠন করা হলে সবাই জঙ্গি বলে আখ্যা দেয়</t>
  </si>
  <si>
    <t>মিলের অভ্যন্তরে আশ্রয় নেয়া কেদারনাথ ঘোষ নামে এক ব্যক্তির বাড়িঘর লুটপাট করে মুসলিমরা। বিকেল চারটার দিকে মাত্র ২০ জন পুলিশ এসে সেখানে উপস্থিত হয়।আধা ঘণ্টার মধ্যে পুলিশের সামনেই আবার মুসলিমরা হামলে পরে অসহায় হিন্দুদের উপর।</t>
  </si>
  <si>
    <t>দুপুরের মধ্যে সেই বিক্ষোভ পরিণত হয় সহিংসতায়। লাঠিসোটা নিয়ে হিন্দুদের ব্যবসা প্রতিষ্ঠান, বাড়িঘর এমনকি মন্দিরে হামলা ও লুটপাট চালানো হয় এসব মিছিল থেকে।</t>
  </si>
  <si>
    <t>ধর্মের নামে মেয়েদের জীবন নরকে পরিণত এটা কোনো ঈশ্বরের বিধান না, এটা বর্বরতা।</t>
  </si>
  <si>
    <t>উনি তো শুধু খ্রিস্ট ধর্ম নিয়ে কথা বলছেন না। মানবীয় যে মূল্যবোধ, নৈতিকতার বিষয়গুলো যার মধ্য দিয়ে মানুষ সুখে শান্তিতে বসবাস করতে পারবে, সে বিষয়গুলো উনি বলেন।</t>
  </si>
  <si>
    <t xml:space="preserve">তাকে কে কী ভাবছে, এই ভাবনার চেয়ে বেশি গুরুত্বপূর্ণ হওয়া উচিৎ, তার হিজাব, নিক্বাব, দাড়ি, টুপি এগুলো তার 'ইসলাম' এর পরিচায়ক, সে সবার কাছে অজানা অচেনা কেউ হলেও তার পোশাকের কারণে সে একজন 'মুসলিম' এটাই বড় কথা। </t>
  </si>
  <si>
    <t>রাজবাড়ীতে মুসলিম কবরস্থানে ‘খ্রিস্টান কবর’ বলে চিহ্নিত একটি কবর তুলে ফেলা হয় উগ্র গ্রামবাসীদের চাপে।</t>
  </si>
  <si>
    <t>চন্দ্রনাথ পাহাড়ে আজান দিলে বলা হয় উগ্রতা, আর মূর্তির পায়ে কুরআন রাখাকে বলা হয় সম্প্রীতি। অপরাধীদের দৃষ্টান্তমূলক শাস্তি না দিলে বাংলাদেশজুড়ে আন্দোলনের হুমকি দেওয়া হয়েছে।</t>
  </si>
  <si>
    <t>শুক্রবার জুমার পর কিছু লোক মিছিল করে হিন্দু পাড়ায় আক্রমণ করে এবং বাড়িতে আগুন দিতে গেলে পুলিশ গুলি চালায়।</t>
  </si>
  <si>
    <t>মুসলমানদের ছাড়া আর কেউ সত্যিকারের মানুষ না, বাকি সবাই জাহান্নামে যাবে।</t>
  </si>
  <si>
    <t>২৮ ফেব্রুয়ারি রাতে বাগেরহাট জেলার মোড়েলগঞ্জ উপজেলার চিংড়িখালী ইউনিয়নের পিংজৌর গ্রামে দুর্বৃত্তরা একটি হিন্দু মন্দিরে ভাঙচুর করে। রামচন্দ্রপুর ইউনিয়নের ডুমুরিয়া সর্বজনীন মন্দিরেও আগুন দেওয়া হয়।</t>
  </si>
  <si>
    <t>যদি পরম করুণাময় আল্লাহ তায়ালা কোনো দিন তাওফিক দান করেন আপনাদের সোহবতে বসে কিছু সময় কাটানোর ও কল্যাণকর কথা বিনিময়ের, তবে তা হবে আমার দুনিয়া ও আখিরাতের এক অমূল্য নেয়ামত ও বরকত।</t>
  </si>
  <si>
    <t>শুধু ইসলাম নয় কেউ কোন ধর্মকে অবমাননা করলে তাকে শাস্তির আওতায় আনতে হবে। সবাই সবার ধর্মকে শ্রদ্ধা করুক।</t>
  </si>
  <si>
    <t>নওগাঁর এক খ্রিস্টান গির্জায় বোমা হামলায় ৪৪ জন নিহত হন; গির্জাটি ধ্বংসপ্রায়।</t>
  </si>
  <si>
    <t>ইসলামপন্থীরা শাঁখারীকাঠি বাজারে হিন্দু পুরুষদের নির্মমভাবে হত্যা করে। খুলনার আলুকদিয়া গ্রামে সংঘটিত এই ধর্মীয় হত্যাযজ্ঞে ৪২ নিরীহ হিন্দু প্রাণ হারায়।</t>
  </si>
  <si>
    <t>২০০৯ সালে ‘বেসিক ইনফরমেশন অন ইসলাম’ শীর্ষক সেমিনারে একজন বিদেশি নাগরিক নবী মুহাম্মদের (সা.) বিয়ে নিয়ে কটূক্তি করেন।</t>
  </si>
  <si>
    <t>যখন একজন হিন্দু মেয়ে ধর্মান্তরিত হয়ে মুসলিম হয়,তখন সে মারা গেলে আপনি চাইবেন মেয়েটার দাফন হোক।আর একজন মুসলিম মেয়ে ধর্মান্তরিত হয়ে হিন্দু বা হিন্দুদের রীতিনীতি ফলো করলে,তাহলে তারা চাইবে না কেন তার দাহন হোক!</t>
  </si>
  <si>
    <t>খ্রিস্টান সম্প্রদায়ের কিছু অংশ ধর্মান্তরের জন্য জোরজবরদস্তি করে যা দেশের ধর্মীয় সামঞ্জস্যের জন্য মারাত্মক হুমকি সৃষ্টি করছে।</t>
  </si>
  <si>
    <t>যারা নবীজিকে কটুক্তি করে, তারা জন্মপরিচয়হীন শয়তান এদের মুসলিম উম্মাহর হাতে ছেড়ে দিন, ইতিহাসই শিক্ষা দেবে।</t>
  </si>
  <si>
    <t>হিন্দুদের বাড়িঘরে ভাঙচুর, অগ্নিসংযোগ ও লুটের অভিযোগে। এই মামলায় ৪১ জনের নাম উল্লেখসহ অজ্ঞাতপরিচয় অনেককে আসামি করা হয়।</t>
  </si>
  <si>
    <t>রাষ্ট্রনায়করা বলেন বা সরকার বলেন এই বিষয়টাতে হস্তক্ষেপ করা দরকার বলে আমার মনে হয়। ধর্মের বিষয়টাতে কেউ যেন প্রাধান্য না দেয় বা কেউ কোনো উসকানি না দেয় বা কেউ কোনো এটাকে ব্যবহার করে।</t>
  </si>
  <si>
    <t>১৯ সেপ্টেম্বর নরসিংদীতে এসএসসির ইংরেজি প্রথম পত্র পরীক্ষায় সিঁদুর ও হাতে শাঁখা পরে কিছু হিন্দু শিক্ষার্থীদদের হলে ঢুকতে বাধা দেওয়া হয়। শিক্ষার্থীদের সিঁদুর মুছতে ও শাঁখা খুলতে বাধ্য করার পর, পরীক্ষাকেন্দ্রে প্রবেশ করার অনুমতি দেওয়া হয়।</t>
  </si>
  <si>
    <t>পবিত্র রমজানের জন্য কি অনুষ্ঠান চাইতেছেন আপনি? এর হে স্বাধীনতা নিয়ে এতো সমস্যা হলে যেখান শান্তি মিলবে ওখান চলে যান।</t>
  </si>
  <si>
    <t>হিন্দু হোক বা মুসলিম, সম্প্রীতির এই দেশটাতে যারা, দাঙ্গা হানিতে চায়, সেই সব নরপিশাচদের, কাটা-মস্তক আমি চাই।</t>
  </si>
  <si>
    <t>২০১৮ সালে বাংলাদেশে প্রণীত ডিজিটাল নিরাপত্তা আইনে প্রযুক্তির মাধ্যমে ধর্মীয় অনুভূতিতে আঘাত বা ধর্মীয় বিশ্বাসে আঘাত করার অপরাধের শাস্তি আরও কঠোর করা হয়েছে, যাতে ধর্মীয় সম্প্রতি বজায় থাকে।</t>
  </si>
  <si>
    <t>বাংলাদেশের সাম্প্রদায়িক,ধর্মীয় মৌলবাদ নিপাত যাক।মানবতা মুক্তি পাক।জয় হোক বিশ্ব মানবতার।</t>
  </si>
  <si>
    <t>ময়মনসিংহে এক ধর্মীয় উগ্রবাদীর হামলায় ৩৫ জন প্রাণ হারান; পুলিশ কড়া পদক্ষেপ নেয়।</t>
  </si>
  <si>
    <t>সরকারের পতনের পর দেশজুড়ে “সাম্প্রদায়িক নৃশংসতা”র কবলে নয় জন হিন্দু হত্যাকাণ্ডের শিকার হয়েছেন মর্মে ১৯ সেপ্টেম্বর বহুল-আলোচিত একটি প্রতিবেদন প্রকাশ করে হিন্দু বৌদ্ধ খ্রিস্টান ঐক্য পরিষদ।</t>
  </si>
  <si>
    <t>নরসিংদীতে ধর্মীয় অশান্তিতে সংঘর্ষে ৪৩ জন প্রাণ হারায়। পুলিশ লাঠিচার্জ করে সহিংসতা কমানোর চেষ্টা করলেও পরিস্থিতি নিয়ন্ত্রণের বাইরে চলে যায়। সরকার সবাইকে শান্ত ও ধর্মীয় সহিষ্ণুতা বজায় রাখতে আহ্বান জানায়। অনেক সংখ্যালঘু পরিবার নিরাপত্তার জন্য গ্রাম ত্যাগ করে।</t>
  </si>
  <si>
    <t>প্রতক্ষ্য সংগ্রাম দিবস দাঙ্গা সেই বছরেই নোয়াখালী, রংপুর ও কুমিল্লার মুসলিম ও হিন্দু-শিখদের মধ্যে বেশ কয়েকটি দাঙ্গার সূত্রপাত করেছিল।</t>
  </si>
  <si>
    <t>আজ নানুয়ার দিঘীর পাড়ে একটি পূজা মন্ডপে হনুমানের মূর্তির উরুর উপর পবিত্র কোরআন রাখার দৃশ্য দেখে অবাক হয়েছি। হিন্দু হোক চাই মুসলিম হোক, এধরণের কাজে কোনো প্রকৃত ধার্মিকের হাত থাকার কথা না।</t>
  </si>
  <si>
    <t>পিরোজপুরের মঠবাড়িয়া উপজেলার টিকিকাটা ইউনিয়নের ছোট শিংগা গ্রামের একটি পূজা মণ্ডপে প্রতিমা ভাংচুরের ঘটনা ঘটেছে।</t>
  </si>
  <si>
    <t>প্রেমের জন্য ধর্ম ত্যাগ নয় বরং ধর্মের জন্য প্রাণ ত্যাগ করো</t>
  </si>
  <si>
    <t>এক সাম্প্রদায়িক সংঘর্ষে দুই ধর্মীয় গোষ্ঠীর মধ্যে গোলাগুলি হয়, এতে ৩৬ জন মারা যান।</t>
  </si>
  <si>
    <t>ধর্ম নিয়ে কাউকে আক্রমণ করা সবচেয়ে দুঃখজনক; এটা একান্তই ব্যক্তিগত ও পবিত্র, তাই বৈষম্যের কোনো জায়গা নেই।</t>
  </si>
  <si>
    <t>ছয় দিন পর আদালত পাঁচ অখ্রিস্টানকে মুক্তি দেয় যাদের বিরুদ্ধে খ্রিস্টান হত্যা ও আত্মহত্যায় প্ররোচনা দিয়ে দাঙ্গায় ঘর পুড়িয়ে দেওয়ার অভিযোগ ছিল, যা খ্রিস্টানদের বিরুদ্ধে এক নির্মম ধর্মীয় নিপীড়ন।</t>
  </si>
  <si>
    <t>অন্যধর্মকে কটুক্তি করলে তখন শাস্তির জন্য কোনো বিধান রাখে নাই?</t>
  </si>
  <si>
    <t>টেন মিনিট স্কুলের আরেক সেক্যুলার 'রশিদ'! যে কিছুদিন আগেও ইসলাম ধর্ম নিয়ে সন্দেহ লাগে বলেছিলো।</t>
  </si>
  <si>
    <t>২৮ ফেব্রুয়ারি জামায়াতে ইসলামী এবং এর ছাত্র সংগঠন ইসলামী ছাত্র শিবিরের কর্মীরা একটি হিন্দু মন্দিরে হামলা করে এবং গাইবান্ধা জেলার হিন্দু মালিকানাধীন ব্যবসায়িক প্রতিষ্ঠান ধ্বংস করে দেয়।</t>
  </si>
  <si>
    <t>কথাগুলো হলো ২০১৯ সালের, এখনো মনে আছে। বসীরার এই সিরিজটি দেখে নিজেকে পরিবর্তন করেছিলাম এবং মহান আল্লাহর প্রেমে পড়ে গিয়েছিলাম।</t>
  </si>
  <si>
    <t>নিরীহ মানুষের রক্তে রঞ্জিত এই ধর্মীয় বিদ্বেষের জেরে বহু মানুষ হত্যা ও আত্মহত্যায় প্ররোচিত হচ্ছে, যা কেবল ব্যক্তিগত নয় বরং জাতিগত ব্যর্থতার করুণ চিত্র তুলে ধরে প্রতিটি হত্যাই এক একটি নীরব হত্যাযজ্ঞ।</t>
  </si>
  <si>
    <t>সম্মানিত মুসলিম এবং অমুসলিম শিক্ষকদের কাছে জানতে চাচ্ছি, আমাদের ক্যাম্পাসে শিক্ষকদের থেকে এই ধরনের ইসলাম বিদ্বেষী মনোভাব পোষণ করে ছাত্র ছাত্রীদের হেনস্থা করা কি উচিত??</t>
  </si>
  <si>
    <t>লন্ডন ইকোনোমিস্ট এবং ম্যানচেস্টার গার্ডিয়ান পত্রিকার একজন সাংবাদিক তায়া জিঙ্কিন রিপোর্ট করেন,আশুগঞ্জ থেকে ময়মনসিংহগামী একটি ট্রেন মেঘনা নদীর উপর নির্মিত ভৈরব সেতুতে থামাতে বাধ্য করে উন্মত্ত মুসলিম জনতা।সশস্ত্র মুসলিম জনতা সেতুর উভয় পাশ দিয়ে আক্রমণ করে।যে সকল হতভাগ্য হিন্দু যাত্রী নদীতে ঝাঁপিয়ে পড়ে এবং সাতার কেটে তীরে উঠে নিজের জীবন বাঁচাতে চেষ্টা করেছিল তাদেরকে ইটপাটকেল দিয়ে আঘাত করে মেরে ফেলা হয় এবং অনেক যাত্রীকে নদীতে চুবিয়ে হত্যা করা হয়।</t>
  </si>
  <si>
    <t>গৌতম বুদ্ধের জন্মস্থান নেপালের পাদদেশ পর্যন্ত বৌদ্ধ নিধন কার্যক্রম চালিয়েছিলেন কট্টর হিন্দু রাজা শশাঙ্ক। ‘আর্য্যা মুখশ্রী মূলকল্প’ নামক গ্রন্থে উল্লেখ করা হয়েছে শুধুমাত্র বৌদ্ধ ধর্ম নয় জৈন ধর্মের ওপরও উৎপীড়ন ও অত্যাচার সমানভাবে চালিয়েছিলেন তিনি।</t>
  </si>
  <si>
    <t>মসজিদ থেকে প্রায় ২০০ গজ দূরে একটি পুরনো কালী মন্দির ছিল। রাজাপুর গ্রাম একটি সম্পূর্ণ হিন্দু অধ্যুষিত গ্রাম। এলাকায় কোন মুসলমান নেই। তাই হিন্দুরা অধ্যাপিকা হামিদা খাতুনকে ৫০০ গজ দূরে মসজিদ নির্মাণের অনুরোধ করেন।</t>
  </si>
  <si>
    <t>ধর্মীয় উগ্রবাদীদের দ্বারা এক মসজিদে গ্যাস সিলিন্ডার বিস্ফোরণ, ৩৫ জন নিহত হন।</t>
  </si>
  <si>
    <t>কোরআনের নির্দেশনা অনুসারে, ইসলাম শান্তি ও সাম্যের প্রতিষ্ঠা নিশ্চিত করে।</t>
  </si>
  <si>
    <t>সব সমস্যার সমাধান একমাত্র কুরআন শরীফ, শুধুমাত্র অনুসন্ধান করতে হয়।</t>
  </si>
  <si>
    <t>২১ মার্চ, সোমবার দুপুরে ইজাজুল ইসলাম খান নামে এক উগ্রবাদী মুসলিম ব্যক্তি খিলগাঁওয়ের তিলপাপাড়ার ৭ নম্বর কালভার্ট রোডের দেবমন্দিরে গেট টপকে এসে প্রতিমা ভাঙচুর চালান</t>
  </si>
  <si>
    <t>মুসলিম উগ্রপন্থীরা নিজেদের ধর্মকে অন্য ধর্মের উপরে প্রতিষ্ঠিত করতে চায় এবং অন্য ধর্মের প্রতি বিদ্বেষ ছড়ায়।</t>
  </si>
  <si>
    <t>আফসোস ৯০ পার্সেন্ট মুসলিমের দেশে. পাখির মতো গুলি করে হত্যা করা হয় কোরআন প্রেমীদের.</t>
  </si>
  <si>
    <t>যারা সত্য জেনেও অন্যায়ের প্রতিবাদ করে না, বরং ক্ষমতাশালীদের পক্ষ নেয়, তারা কি তাদের বিশ্বাস ও আখিরাতের জবাবদিহির কথা ভুলে গেছে?</t>
  </si>
  <si>
    <t>বাংলাদেশে একটি মন্দিরে হামলার পর এক প্রতিনিধি দল ঘটনাস্থলে গিয়ে অন্য দলকে দোষারোপ করে এমন ভাবে যেন তারাই বৌদ্ধদেড় উপর হামলা করেছিল।</t>
  </si>
  <si>
    <t>১৫ ফেব্রুয়ারি ২০২৪ মেহেরপুর জেলার গাংনী উপজেলায় এক পুরনো দুর্গামন্দিরে গভীর রাতে দুর্বৃত্তরা প্রবেশ করে প্রধান দুর্গা প্রতিমার মাথা ও ডান হাত ভেঙে ফেলে মন্দিরের অন্যান্য মূর্তিগুলিও ভাঙচুর করা হয়</t>
  </si>
  <si>
    <t>২০১৮ সালের সেপ্টেম্বর মাসে ধর্মীয় ভিন্নমত প্রকাশ করায় একজন ব্লগারকে প্রকাশ্যে কুপিয়ে হত্যা করা হয়; প্রতিবাদে ১৫ জন প্রাণ হারান।</t>
  </si>
  <si>
    <t>কুরআনে আল্লাহ মানুষের মধ্যে প্রেম ও সহানুভূতি বৃদ্ধির জন্য তাদের একে অপরকে সম্মান এবং সাহায্য করতে নির্দেশ দিয়েছেন, অবিশ্বাসীদেরও অন্তর্ভুক্ত করে।</t>
  </si>
  <si>
    <t>সাম্প্রতিককালে খ্রিস্টান ধর্মাবলম্বী কজন পাদ্রীকেও হুমকি দেওয়া হয়েছে বলে সংবাদমাধ্যমে খবর এসেছে। সেক্ষেত্রেও আমরা একই কথা স্মরণ করিয়ে দিতে চাই। কোনো সংখ্যালঘু সম্প্রদায়ের ধর্মীয় কেন্দ্র, উপাসনালয় ও ব্যক্তির উপর হামলা করার অনুমতি ইসলামী শরীয়তে নেই।</t>
  </si>
  <si>
    <t>মৃত্যু সংক্রান্ত ইসলামী ব্যাখ্যা এতটাই ব্যাপক যেন এটা একটা ছবির মতই পরিষ্কার।</t>
  </si>
  <si>
    <t>মন্দিরের পুরোহিত পরমানন্দ গিরি মন্দির এবং আশ্রমের বাসিন্দাদের আশীর্বাদ এবং আশ্বাস দিয়েছিলেন যে এই পবিত্র এবং আধ্যাত্মিক স্থানটি নিরাপদ থাকবে।</t>
  </si>
  <si>
    <t>ইসলাম অবমাননার শাস্তি যদি মৃত্যু হয়, নবীজির সময় কোনো কাফের বেঁচে থাকত না; আমাদের আরও সহনশীল হওয়া উচিত।</t>
  </si>
  <si>
    <t>বরিশালে সাম্প্রদায়িক সংঘর্ষে সংখ্যালঘু হিন্দু সম্প্রদায়ের ওপর হামলা চালিয়ে অন্তত ৪০ জন নিহত হয়। হামলাকারীরা মন্দির ও বাড়িঘর পুড়িয়ে দেয়। নিরাপত্তা বাহিনী পরিস্থিতি নিয়ন্ত্রণে রাখতে ব্যর্থ হয়।</t>
  </si>
  <si>
    <t>ধর্মান্তরিতদের চলাচল ছিল মুসলিমদের নিয়ন্ত্রণাধীন।কখনও গ্রামের বাইরে যেতে হলে স্থানীয় মুসলিম নেতাদের অনুমতি নিতে হত ।রামগঞ্জ পুলিশ স্টেশনের অন্তর্গত খালিশপাড়াতে মুসলিমরা ধর্মান্তরিত হিন্দুদের কাছ থেকে জোর করে লিখিত আদায় করে।[৪১]</t>
  </si>
  <si>
    <t>১৫ জুলাই শুক্রবার নড়াইলের লোহাগড়া উপজেলার দিঘলিয়া বাজারে ফেসবুকে দেওয়া একটি পোস্ট কে কেন্দ্র করে সাম্প্রদায়িক সহিংসতা সংগঠিত হয়। ১৮ বছর বয়সী আকাশ সাহাকে ফেইসবুক পোস্টের কারণে অভিযুক্ত করা হয় এবং পিতা অশোক সাহাকে পুলিশ আটক করে।</t>
  </si>
  <si>
    <t>ব্রাহ্মণপাড়াতে হিরেন বাবু, ধীরেন রায়, মন্টুসহ পাঁচজনের বাড়িতে আগুন লাগিয়ে দেয়া হয় ও ১০টি বাড়িতে ভাংচুর করা হয়। প্রশাসনের সামনে মুসলিম হামলাকারীরা লুটপাট চালায়।</t>
  </si>
  <si>
    <t>১৯ জুন ২০২৩ লালমনিরহাটের আদিতমারীতে পূজার প্রস্তুতিকালে নির্মাণাধীন প্রতিমা রাতের বেলা সম্পূর্ণ ভেঙে ফেলে দেয় দুর্বৃত্তরা</t>
  </si>
  <si>
    <t>ধর্মীয় বৈষম্যের অভিযোগে একটি মাদ্রাসা পুড়িয়ে দেয়া হয়, শিক্ষার্থীরা পালাতে গিয়ে পদদলিত হয়ে মারা যায়। মোট নিহত: ৪২ জন।</t>
  </si>
  <si>
    <t>প্রত্যেকেই নিজের ধর্ম ও ধর্মীয় অনুষ্ঠান পালন করবে। কিন্তু মুসলিমদের ইফতার পার্টিতে হামলা ও তারাবিতে বাধা দেয়া হয়েছে। এর মানে কী?</t>
  </si>
  <si>
    <t>এক গোষ্ঠী মুসলিমদের গরু জবাই করার কারণে গৃহে আগুন লাগিয়ে ২৫ জনকে নিহত করে হিন্দু দুর্বৃত্তরা</t>
  </si>
  <si>
    <t>মুসলিম সংখ্যাগরিষ্ঠ একটি দেশে অমুসলিম পৌত্তলিকদের এই ঔদ্ধত্যে আমরা স্তম্ভিত। ঐ বৌদ্ধ যুবকের ঘটনাই এক্ষেত্রে প্রথম ঘটনা নয়। একশ্রেণীর হিন্দু ও হিন্দুমনা ব্যক্তির দ্বারা ইসলাম ও ইসলামের নবী সাল্লাল্লাহু আলাইহি ওয়াসাল্লামের অবমাননার ঘটনা ধারাবাহিকভাবে ঘটছে।</t>
  </si>
  <si>
    <t>১৯৯০ সালের ২৯ অক্টোবর, ইসলামী রাজনৈতিক দল জামায়াতে ইসলামী অর্থায়িত সংবাদপত্র 'দৈনিক ইনকিলাবের' শিরোনাম ছাপায় 'বাবরী মসজিদ ভেঙ্গে ফেলা হয়েছে'।[৩] ফলে সমগ্র বাংলাদেশ ব্যাপী বাবরী মসজিদ ধ্বংসের গুজব রটানো হয়। আর এতেই সবার দুশ্চিন্তার পারদ সর্বোচ্চ মাত্রায় পৌঁছে যায়।</t>
  </si>
  <si>
    <t>কিছু আলেম মনে করেন, রাতে মুসলমানদের কবরস্থানে গিয়ে কোরআনের তেলাওয়াত ও মৃতদের জন্য প্রার্থনা করা যুক্তিসঙ্গত।</t>
  </si>
  <si>
    <t>গতবছর "কুরআন অনুবাদ পাঠ প্রতিযোগিতা" এর পুরস্কার বিতরণী অনুষ্ঠানের ভেন্যুর জন্য অডিটোরিয়ামে অনুমতি দেওয়া হয়নি,</t>
  </si>
  <si>
    <t>২০২০ সালের সেপ্টেম্বর মাসে এক ধর্মীয় সম্প্রদায়ের বিক্ষোভে পুলিশ গুলি চালায়, ২২ জন নিহত হন এবং ব্যাপক বিশৃঙ্খলা সৃষ্টি হয়।</t>
  </si>
  <si>
    <t>মুসলিমদের আরেকটি দল রামগঞ্জ পুলিশ স্টেশনের গোবিন্দপুরের যশোদা পাল ও ভরত ভূঁইয়ার বাড়িতে আক্রমণ করে।তারা পরিবারের ১৬ জন সদস্যকে দড়ি দিয়ে বেধে জীবন্ত অগ্নিদগ্ধ করে নির্মম ভাবে হত্যা করে। বাড়ির মহিলাদের উপর্যূপরি ধর্ষণ করা হয়।</t>
  </si>
  <si>
    <t>আরে নাস্তিক মিডিয়ার বাচ্চা, এটা শুধু মুসলমানদের পবিত্র জায়গা, আর কারো নয়।</t>
  </si>
  <si>
    <t>এক যাত্রাপথে ধর্মীয় পরিচয় দেখে বাস যাত্রীদের নামিয়ে হত্যা করা হয়, নারী যাত্রীদের গণধর্ষণ করা হয়; মৃতের সংখ্যা ৬১ জন।</t>
  </si>
  <si>
    <t>ধর্ম ও সংস্কৃতির প্রতি যত্ন নিন, আপনার সন্তান ঢাকা শহরে কী করছে তা খোঁজ রাখুন; মৃত্যু পর্যন্ত তাদের বাস্তবতা বুঝুন।</t>
  </si>
  <si>
    <t>ধর্ম মানুষের জীবনকে গভীরভাবে উপলব্ধি করার সুযোগ দেয়। এটি তাকে আত্মবিশ্লেষণ এবং আত্মপরিচয় খুঁজে পেতে সাহায্য করে, যা তার জীবনের অভ্যন্তরীণ শান্তি প্রতিষ্ঠা করে।</t>
  </si>
  <si>
    <t>বাংলাদেশের একটি অঞ্চলে হিন্দু-মুসলিম দাঙ্গায় প্রায় ৬০ জন নিহত এবং হাজার হাজার মানুষ গৃহহীন হয়।</t>
  </si>
  <si>
    <t>সুনামগঞ্জের শাল্লা উপজেলার হবিবপুর ইউনিয়নের নোয়াগাঁও গ্রামে হেফাজত নেতা মামুনুল হকের অনুসারীদের হামলায় ক্ষতিগ্রস্ত হিন্দু পরিবারগুলোকে ক্ষতিপূরণ দেয়ার দাবি জানিয়েছে বাংলাদেশ জাতীয় হিন্দু মহাজোট।</t>
  </si>
  <si>
    <t>লক্ষ লক্ষ হাদীসের প্রয়োজন নেই; খ্রিষ্টানদের জন্য শুধুমাত্র যীশু খ্রিষ্টের দশ আজ্ঞাই পুরো কিতাবের হাদীস।</t>
  </si>
  <si>
    <t>এক গোষ্ঠী সংখ্যালঘুদের চিকিৎসা কেন্দ্রে হামলা চালিয়ে ২৬ জন নিহত হয়।</t>
  </si>
  <si>
    <t>কুইবেকের একটি মসজিদে বন্দুকধারী গুলি চালিয়ে ৬ জনকে হত্যা করে।</t>
  </si>
  <si>
    <t>যারা মুসলিমদের উপর এই জঘন্য হত্যা কান্ড করেছে তাদের কে আইনের আওতায় এনে অতিদ্রুত উপযুক্ত বিচার করা হোক</t>
  </si>
  <si>
    <t>ধর্মীয় অনুভূতিতে আঘাত করে কোরান অবমাননা বা নবী মুহম্মদকে অপমান করার প্রতিবাদে বিভিন্ন ধর্মীয় উপাসনালয়ে ভাঙচুর করা হয়েছে ।</t>
  </si>
  <si>
    <t>ধর্মীয় বিদ্বেষমূলক দাঙ্গায় শতাধিক মানুষ নিহত হয়, কয়েকজন আতঙ্কে আত্মহত্যা করেন এবং হাজার হাজার মুসলিম পরিবার নিরাপত্তার অভাবে বিভিন্ন শরণার্থী শিবিরে আশ্রয় নিতে বাধ্য হয়।</t>
  </si>
  <si>
    <t>ভাল কাজ তুচ্ছজ্ঞান ও নেকীর কাজ গুরুত্ব না দেয়া। মুসলিমদের সমস্যার ব্যাপারে গুরুত্ব না দেয়া। ভ্রাতৃত্বের বন্ধন ছিন্ন করা। দ্বীনের কাজে দায়িত্বানুভূতি না থাকা। বিপদাপদে ভীত সন্ত্রস্ত হওয়া।</t>
  </si>
  <si>
    <t>ঢাকতে হিন্দুদের উপর তিনদিন ব্যাপী গনহত্যা চালানোর পরে গ্রামাঞ্চল গুলোতে যেমন বিক্রমপুর, লৌহজং-এ হত্যাযজ্ঞ শুরু করে মুসলিমরা।[১৯] ১৫ ফেব্রুয়ারি তারিখে শিমুলিয়া বাজারের হিন্দু দোকানে লুটপাট ও অগ্নিসংযোগ করে তারা।</t>
  </si>
  <si>
    <t>বেঁচে যাওয়া হিন্দুরা দুই ধাপে নোয়াখালী ও ত্রিপুরা(বর্তমান কুমিল্লা) ছেড়েছিল। গনহত্যা,ধর্ষণ এবং জোরপূর্বক ধর্মান্তকরন শুরুর হওয়ার সাথে সাথেই প্রথম পর্যায়ে হিন্দুরা কলকাতা পালিয়ে বেঁচেছিল।</t>
  </si>
  <si>
    <t>সুনামগঞ্জের শাল্লায় সংখ্যালঘু হিন্দুদের বাড়িঘরে হামলা, ভাঙচুর ও লুটপাটের ঘটনায় ক্ষতিগ্রস্ত পরিবারগুলোকে প্রধানমন্ত্রীর পক্ষ থেকে সহায়তা দেয়া হয়েছে।</t>
  </si>
  <si>
    <t>আমি অত্যন্ত দুঃখের সাথে জানাচ্ছি, আমি সহ আমার প্রতিষ্ঠান লাইফস্প্রিং এর মোট ৪ জন কন্সালট্যান্ট, ব্যক্তিগত ধর্মবিশ্বাসের জন্যে বেশ কয়েকটি কুচক্রী মহলের ক্রোধের শিকার।</t>
  </si>
  <si>
    <t>২০১৮ সালের জুনে এক গোষ্ঠী সংখ্যালঘুদের উপর কর চাপিয়ে দিতে না পারায় তাদের বাড়িঘর আগুনে পুড়িয়ে দেয়া হয়; এতে ২৪ জন নিহত হয়।</t>
  </si>
  <si>
    <t>কুষ্টিয়ার পর জয়পুরহাটে সহিংসতার দ্বিতীয় ঘটনা ঘটেছে। বাংলাদেশ হিন্দু ঐক্য পরিষদ একই সপ্তাহে দ্বিতীয় ঘটনাটি নথিভুক্ত করার সময় বাংলাদেশের আইন-শৃঙ্খলা ব্যবস্থার শক্তি নিয়ে প্রশ্ন তোলে।</t>
  </si>
  <si>
    <t>নাস্তিক মেয়েটাকে নিয়ে বেশি বাড়াবাড়ির দরকার কি,যেখানে তার পরিবার তাকে সুযোগ দিয়েছে নাস্তিক হওয়ার, সেখানে ওর জানাজা যে পড়ানোও উচিত হয়নি।</t>
  </si>
  <si>
    <t>ধর্মীয় অনুশাসন অনুযায়ী প্রতিদিন কিছু সময় প্রার্থনা করলে মনের স্থিতি বৃদ্ধি পায়।</t>
  </si>
  <si>
    <t>সিনেমার টিজার নিয়ে ধর্ম অবমাননার যে অভিযোগ উঠেছে সেটা নিয়ে এই সিনেমার প্রযোজক সেলিম খানের সাথে যোগাযোগ করা হলে তিনি বিবিসি বাংলাকে বলেছেন, যখনই তিনি দেখেছেন এটা নিয়ে বিতর্ক হচ্ছে তখনি টিজারটি সরিয়ে ফেলার নির্দেশ দিয়েছেন তিনি।</t>
  </si>
  <si>
    <t>আমি বলে বুঝাতে পারবোনা এই একটা ভিডিও আমার ভিতরটাকে ভেঙ্গে চুরে চুরমার করে দিয়েছে আল্লাহর কসম এর চেয়ে সুন্দর আর কিছুই হতে পারেনা</t>
  </si>
  <si>
    <t>তারা ইসলাম অবমাননা করেছে তাদের নিন্দা করা উচিত। যারা নিন্দা করে না, তারা ইসলামের শত্রু।</t>
  </si>
  <si>
    <t>ভয়াবহ সাম্প্রতিক হত্যাকাণ্ডের সময় বহু মানুষ কলকাতা ত্যাগ করে পালিয়ে যেতে থাকে। বেশ কয়েকদিন ধরেই অগণিত মানুষের ঢেউ হাওড়া ব্রিজ দিয়ে স্টেশন অভিমুখে যেতে থাকে। তাদের অনেকেই কলকাতার বাইরের অঞ্চলে ছড়িয়ে পড়া এই হিংস্রতা থেকে বাঁচতে পারেননি।</t>
  </si>
  <si>
    <t>সে উগ্র সাম্প্রদায়িকতার শিকার, এবং হিন্দু ধর্ম ও দুর্গা প্রতিমা নিয়েও কটুক্তি হয়।</t>
  </si>
  <si>
    <t>ধর্মীয় অনুষ্ঠানে ভিন্ন ধর্মের ব্যক্তি প্রবেশ করায় গণপিটুনিতে তার মৃত্যু ঘটে; ঘটনায় আরও ১৭ জন নিহত হন।</t>
  </si>
  <si>
    <t>পশ্চিমবঙ্গের লোকসভা নির্বাচনে ধর্মীয় মূল্যবোধ ও বিশ্বাস মানুষকে প্রভাবিত করছে কি না, তা শান্তভাবে পর্যবেক্ষণ করা গুরুত্বপূর্ণ হয়ে উঠছে।</t>
  </si>
  <si>
    <t>কুরআনে বলা হয়েছে পশু-পাখিরাও আল্লাহর সৃষ্টি এবং তাদের প্রতি সদয় হওয়া উচিত।</t>
  </si>
  <si>
    <t>কুমিল্লায় গেল বুধবার সকালে একটি মন্দিরে কুরআন অবমাননার কথিত অভিযোগের ছবি-ভিডিও ফেসবুকে দ্রুত ছড়িয়ে পড়ে। এর আগে কক্সবাজারের রামুসহ দেশের বিভিন্ন স্থানে সাম্প্রদায়িক সন্ত্রাসে উসকানি দেওয়ার ক্ষেত্রেও ফেসবুকসহ সোশাল মিডিয়ার ভূমিকা ছিল সমালোচিত।</t>
  </si>
  <si>
    <t>ওরা যত মসজিদ বানাবে, ততটাই পিছিয়ে পড়বে সমাজ, এগুলো আর সহ্য করা যায় না।</t>
  </si>
  <si>
    <t>মুসলিম উগ্রপন্থীরা ধর্মীয় উগ্রতা ছড়িয়ে দেশের বিভিন্ন স্থানে ধর্মীয় সংঘর্ষ সৃষ্টি করছে, যা সমাজকে অস্থিতিশীল করে তোলে।</t>
  </si>
  <si>
    <t>২০১০ থেকে ২০১৭ সাল পর্যন্ত সহিংসতার শিকার হওয়া ৮৪% মুসলমান ছিলেন এবং মে ২০১৪ এর পরে এই হামলার প্রায় ৯৯% মুসলমান ছিল বলে জানানো হয়েছিল।</t>
  </si>
  <si>
    <t>২০১৮ সালের জুলাই মাসে এক মসজিদে আত্মঘাতী বোমা হামলায় অন্তত ৪৫ জন নিহত হন। ঘটনাটি সাম্প্রদায়িকতার জের ধরে ঘটেছে বলে জানা যায়।</t>
  </si>
  <si>
    <t>২০১৯ সালের অক্টোবর মাসে এক গোষ্ঠী ধর্মীয় মন্দিরে আগুন দিয়ে ৩০ জন নিহত হয় এবং শতাধিক লোক ঘরবাড়ি হারায়।</t>
  </si>
  <si>
    <t>সিলেট জেলার এমএলএ সুরেশ চন্দ্র বিশ্বাস একটি জনসভায় গণহত্যা ও হিন্দুদের বাড়িঘর লুটপাট ও অগ্নিসংযোগের নিন্দা করলে ১১ মার্চ গ্রেফতার হন।</t>
  </si>
  <si>
    <t>সূরা মারিয়াম এর ঘটনা থেকে অনুপ্রেরণা নিয়ে আমরা অনেক কিছু চাইতে ভয় পাই, যদিও আল্লাহ সব কিছু জানেন।</t>
  </si>
  <si>
    <t>কিশোরগঞ্জে ধর্মীয় দাঙ্গায় ৪২ জন প্রাণ হারায়। পুলিশ সহিংসতা দমনে ব্যর্থ হয়, সরকার শান্তি ও দায়িত্বশীলতা বজায় রাখতে আহ্বান জানায়। বহু পরিবার নিরাপত্তার কারণে গ্রাম ত্যাগ করে।</t>
  </si>
  <si>
    <t>ভাতৃত্বের মাঝে সাম্প্রদায়িকতা ঢুকিয়ে সংখ্যাগুরু-সংখ্যালঘু নামক দেয়াল তুলে দিয়ে আমাদের বিভাজিত করছে। মানুষে মানুষে দাঙ্গা লাগিয়ে দিচ্ছে এই সাম্প্রদায়িকতাকে পুঁজি করে। ছোট ছোট বাচ্চাদের মগজে সাম্প্রদায়িকতার বিষ ঢোকানোর চেষ্টা করা হচ্ছে। সাম্প্রদায়িকতায় উস্কে দেয়ার জন্য বারবার আঘাত করা হচ্ছে ভাতৃত্বের বন্ধনে।</t>
  </si>
  <si>
    <t>কুষ্টিয়ায় ধর্মীয় গোষ্ঠীর উগ্রবাদীর হামলায় ৩৬ জন নিহত হয়; অনেক সম্পত্তি ভস্মীভূত হয়।</t>
  </si>
  <si>
    <t>খুলনায় ধর্মীয় গোষ্ঠীর উগ্রবাদী হামলায় এক শিশু সহ ৩১ জন নিহত হন; ব্যাপক ক্ষতি হয়।</t>
  </si>
  <si>
    <t>ফেনীতে ধর্মীয় দাঙ্গায় ৪১ জন নিহত হন। পুলিশ সহিংসতা দমনে ব্যর্থ হয়, সরকার সবাইকে শান্ত ও ধর্মীয় দায়িত্বশীল থাকার নির্দেশ দেয়। বহু পরিবার নিরাপত্তার কারণে গ্রাম ত্যাগ করে।</t>
  </si>
  <si>
    <t>মুসলমানদের একটা জনতা গলশহিদ পুলিশ চৌকিতে আগুন লাগিয়ে দেয় এবং দুজন পুলিশকে হত্যা করে অস্ত্র-শস্ত্র লুট করে। এরপর পুলিশও হিংসাত্মক পন্থা নেয়।</t>
  </si>
  <si>
    <t>সরকার ইমামদের জন্য প্রশিক্ষণ একাডেমি পরিচালনা করে এবং ইসলামিক ধর্মীয় বিদ্যালয় বা মাদ্রাসায় ধর্মীয় শিক্ষার বিষয়বস্তু নিরীক্ষণ করে এবং ধর্মীয় শিক্ষার বিষয়বস্তুকে আধুনিকীকরণ ও মূলধারায় অন্তর্ভুক্ত করাসহ পাঠ্যক্রমের পরিবর্তন করার অভিপ্রায় ঘোষণা করে।[</t>
  </si>
  <si>
    <t>২০১২ সালের ২ জানুয়ারি শহরের একটি হিন্দু উপাসনালয়ে অগ্নিসংযোগ করা হয়। [৬৩]</t>
  </si>
  <si>
    <t>বাংলাদেশে সরকারবিরোধী মুসলিমদের উপর ব্যাপক দমন-পীড়নে অনেক নিহত হন।</t>
  </si>
  <si>
    <t>ধর্ম বাদ দিতে বলাটা মূর্খতার প্রমাণ, ইসলামকে না টানলেও মন ও মানসিকতা পরিবর্তন করা উচিত।</t>
  </si>
  <si>
    <t>১৯৭৫ সালের জুনে সিপিকে’র সভায় যোগ না দিয়ে নামাজে যোগ দেওয়ার কারণে কয়েকজন চ্যাম মুসলমানকে সরকারি সৈন্য হত্যা করে। পরে ১৯৭৫ সালের মাঝামাঝি থেকে সংখ্যালঘুদের শুধু খেমার জাতীয়তা ও ধর্মের প্রতি আনুগত্য দেখাতে বাধ্য করা হয়, অন্য পরিচয় নিষিদ্ধ করা হয়।</t>
  </si>
  <si>
    <t>খ্রিস্টান সম্প্রদায়ের কিছু ব্যক্তি ধর্মান্তরের নামে সমাজে বিভাজন সৃষ্টি করে।</t>
  </si>
  <si>
    <t>২০১৬ সালের সেপ্টেম্বর মাসে এক খ্রিস্টান গির্জায় বোমা বিস্ফোরণে ৪০ জন নিহত হয়; গির্জাটি সম্পূর্ণ ধ্বংস হয়ে যায়।</t>
  </si>
  <si>
    <t>আমার মনে পড়ে না আমরা আগে কখনো আমাদের হিন্দু ভাই ব্রাদারের সাথে পূজা বনাম ঈদ রমজান নিয়ে তর্ক করতে দেখতে। বাংলাদেশে এটলিস্ট কখনো এই ব্যাপারে এরকম কিছু হতে দেখিনি।</t>
  </si>
  <si>
    <t>কেন্দ্রীয় সরকারে হিন্দু আধিপত্যের ভয়ে মুসলিম লীগের রাজনীতিবিদরা জিন্নাহকে "তার পূর্বের অনমনীয় অবস্থান" ফিরিয়ে নিতে বলেন।</t>
  </si>
  <si>
    <t>বটতলায় কবিতা-কনসার্ট করা যাবে, কিন্তু একই বটতলায় আবার কুরআন তেলাওয়াত করলে আপনাদের গা জ্বলবে কেন?</t>
  </si>
  <si>
    <t>আগে তালেবানদের ঠিক হতে বল,, দোষ করে তালেবানরা আর দোষ হয় হিন্দুদের,, এই আইন বাংলাদেশে চলে না,, আর হিন্দুদের উপর যদি ধর্মীয় আঘাত হানে তার কি বিচার হবে,, পাগল বলে চালিয়ে দেয়া নাকি</t>
  </si>
  <si>
    <t>যেই ধর্ম ই হোক, ধর্ম পালনের উদ্দেশ্য ই হচ্ছে সৃষ্টিকর্তার সন্তুষ্টি লাভ করা।</t>
  </si>
  <si>
    <t>অনেকেই আবার বলে থাকেন উৎসবের ভেতর ধর্ম কেনো টানছেন ? ধর্ম মেনে উৎসব পালন করতে সমস্যা কি ?</t>
  </si>
  <si>
    <t>বাংলাদেশে ইদানীংকালে বিভিন্ন হত্যা এবং আক্রমণের পর ধর্মের বিষয়টিকে সামনে এসেছে। সামাজিক যোগাযোগ মাধ্যমেও দেখা যাচ্ছে ধর্মকে ব্যবহার করে প্রতিপক্ষকে ঘায়েল করার চেষ্টা হচ্ছে।</t>
  </si>
  <si>
    <t>আমরা প্রকৃতিকেই ঈশ্বর মনে করি। গীতা অনুসারে মানুষ প্রকৃতির নিয়মে কর্ম ও শাস্তি পায়, তাই প্রকৃতিকে ভগবান মনে করতেও সমস্যা নেই।</t>
  </si>
  <si>
    <t>সিরাজগঞ্জের এক গ্রামে সাম্প্রদায়িক দাঙ্গার সময় উগ্রবাদীরা সংখ্যালঘু হিন্দুদের বসতঘর ও মন্দিরে অগ্নিসংযোগ চালায়। পুলিশ ঘটনাস্থলে দ্রুত পৌঁছানোর চেষ্টা করলেও সত্ত্বেও বিশাল জনতা নিয়ন্ত্রণের বাইরে চলে যায়। সংঘর্ষের ফলে অন্তত ৫৫ জন নিহত হন, যাদের অধিকাংশই নারী ও শিশু। ভয়ংকর পরিস্থিতির কারণে অনেক পরিবার নিরাপত্তাহীনতার কারণে গ্রাম ত্যাগ করতে বাধ্য হয়। পুলিশ নিয়ন্ত্রণে আনার চেষ্টায় ব্যাপক সংঘর্ষের মুখে পড়ে, এবং পরিস্থিতি অবনতির দিকে যায়।</t>
  </si>
  <si>
    <t>কুমিল্লার পবিত্র কোরআন অবমাননার ঘটনার প্রতিবাদ করতে গিয়ে চাঁদপুর, ফেনী, নোয়াখালীসহ দেশের বিভিন্ন জায়গায় পুলিশের গুলিতে বেশ কয়েকজন নিহত ও বহুসংখ্যক আহত হয়েছে।</t>
  </si>
  <si>
    <t>যে জায়গায় ৫% মানুষ এর জন্য একটা বিশ্ববিদ্যালয় এ স্বরসতী পুজা হয় সে জায়গায় ৯৫% এর জন্য কেন ইফতার মাহফিল এর অনুমতি দিবে না?</t>
  </si>
  <si>
    <t>ধর্ম অবমাননার গুজব, বিচারের দাবিতে রাস্তায় নামবে বাংলাদেশে সংখ্যালঘুদের সংগঠন</t>
  </si>
  <si>
    <t>দেশের বৃহত্তম ধর্মীয় সংখ্যালঘু হওয়া সত্ত্বেও, দেশের মুসলিম সম্প্রদায় প্রায়শই নির্দিষ্ট গ্রুপের দ্বারা সহিংস আক্রমণ ও হামলার শিকার হয়েছে।</t>
  </si>
  <si>
    <t>তিনি আল্লাহ এক এবং অদ্বিতীয় এই বার্তা প্রচার করেন এবং বলেন যে আল্লাহর সন্তুষ্টি লাভের একমাত্র উপায় হলো আল্লাহর প্রতি আত্মসমর্পণ।[১৫৫] তিনি নিজেকে আল্লাহর রাসুল ও নবী হিসেবে ঘোষণা করেন এবং বলেন যে তিনি পূর্ববর্তী নবীদের বংশধর।</t>
  </si>
  <si>
    <t>কুমিল্লায় নামাজ চলাকালে এক মসজিদে হামলা ও ভাঙচুর চালানো হয়, এতে ৪ জন মুসল্লি আহত হন।</t>
  </si>
  <si>
    <t>কিছু সাম্প্রদায়িক ছ্যাঁচড়া নেতা এটার রটাচ্ছে সাধারণ মানুষের কাছে একটাই আবেদন বুঝে শুনে মন্তব্য অথবা তর্ক করবেন। নিজেদের মধ্যে মানুষ হিসেবে পরিচিত হন। সাধারণ মানুষকে নিয়ে নোংরা ধর্ম রাজনীতি করা ঠিক নয়।</t>
  </si>
  <si>
    <t>প্রথমত হযরত মুহাম্মদ মোস্তফাকে (সা.) অবমাননা করে কোনো কিছু, সেটি আমরা কোনোভাবেই সমর্থন করি না। এতে ধর্মপ্রাণ মুসলমানদের অনুভূতিতে আঘাত লেগেছে।</t>
  </si>
  <si>
    <t>ধর্ম মানুষের জীবনে নৈতিক মূল্যবোধ তৈরি করে এবং তার মাধ্যমে মানুষের সঠিক পথ অনুসরণের অনুপ্রেরণা পাওয়া যায়।</t>
  </si>
  <si>
    <t>স্টিমারের নাবিকদল হিন্দু যাত্রীদের কাছ থেকে সর্বস্ব হাতিয়ে নিয়ে যায়।</t>
  </si>
  <si>
    <t>হাজীগঞ্জে ধর্মীয় উত্তেজনায় পুলিশের গুলিতে নিহত চারজনই মুসলিম । আমার সোনার বাংলা কাঁদে, অথচ ইসলাম আমাদের রাষ্ট্রীয় ধর্ম বলে দাবি করা হয়।</t>
  </si>
  <si>
    <t>কক্সবাজারে ধর্মীয় গোষ্ঠীর গোষ্ঠীদ্বন্দ্বে ৩০ জন নিহত হয়; ব্যাপক সম্পত্তি ধ্বংস হয়।</t>
  </si>
  <si>
    <t>আল্লাহ সাক্ষ্য দিয়েছেন যে, তাঁকে ছাড়া আর কোন উপাস্য নেই। ফেরেশতাগণ এবং ন্যায়নিষ্ঠ জ্ঞানীগণও সাক্ষ্য দিয়েছেন যে, তিনি ছাড়া আর কোন ইলাহ নেই। তিনি পরাক্রমশালী প্রজ্ঞাময়।</t>
  </si>
  <si>
    <t>একজন মুসলিমের আচরণ এমন হওয়া উচিত যা মানুষের হৃদয় স্পর্শ করে এবং ইসলাম আকর্ষণীয় করে তোলে।</t>
  </si>
  <si>
    <t>আমি তো জানতাম এটা ধর্ম-বর্ণ নিরপেক্ষ রাষ্ট্র। এখন তো দেখছি দিনদিন ইসলাম বিরোধী রাষ্ট্র হয়ে যাচ্ছে।</t>
  </si>
  <si>
    <t>গুলশান হামলার পর রাজধানীর কল্যাণপুরে এই তাজ মঞ্জিলে জঙ্গি আস্তানার সন্ধান পায় পুলিশ; ২৬ জুলাই আইনশৃঙ্খলা বাহিনীর অভিযানে সেখানে নিহত হয় নয়জন জঙ্গি।</t>
  </si>
  <si>
    <t>আগস্ট মাসে সিলেট জেলার বিয়ানীবাজার এবং বড়লেখা পুলিশ স্টেশনের আওতাধীন এলাকার নিরীহ হিন্দু সম্প্রদায়ের উপর স্থানীয় মুসলিম অধিবাসীরা পুলিশ এবং আনসার বাহিনীর সহযোগিতায় আক্রমণ শুরু করে।</t>
  </si>
  <si>
    <t>এক ধর্মীয় সম্প্রদায়ের লোকদের ভোটাধিকার বঞ্চিত করে, বিক্ষোভে ১৯ জন নিহত হন।</t>
  </si>
  <si>
    <t>যখন কেউ কাউকে ভালো কথা বলে, তা একধরনের ইবাদত বা পূজার সমান হতে পারে।</t>
  </si>
  <si>
    <t>পাবনায় ঠাকুরমার ঠাকুরঘরে ঢুকে কাঠ ও ধাতুর মিলিত প্রতিমা ভেঙে ফেলে দেয় দুর্বৃত্তরা।</t>
  </si>
  <si>
    <t>আমিশাপাড়া ও সাতঘরিয়ার মধ্যে ভৌমিক ও পাল পরিবারকে আগুনে পুড়িয়ে ১৯ জন হত্যা করা হয় এবং নারীদের সম্মানহানি করা হয়।</t>
  </si>
  <si>
    <t>এক ধর্মীয় সম্প্রদায় রক্তদানে নিষেধাজ্ঞা দিয়ে বহু রোগীকে মৃত্যুর দিকে ঠেলে দেয়; মৃত্যু সংখ্যা অন্তত ৪০ জন।</t>
  </si>
  <si>
    <t>১৯শে মার্চ বাংলাদেশের মহেশপুরের জিঞ্জিরা গ্রাম থেকে ৪০০ আর্ত হিন্দু শরণার্থী সীমান্ত পার হয়ে পাশের একটি অঞ্চলে আশ্রয় নেওয়ার সময় সীমান্তরক্ষীদের গুলিতে একজন নিহত হয়।</t>
  </si>
  <si>
    <t>এগুলা পুরোটাই বহিরাগত চক্রের কাজ সাথে দেশীয় কিছু চামচাও আছে এদের সাথে। এবছর ইফতার পার্টি বন্ধ করেছে, যাতে পরের বছর হিন্দুরা পূজো করতে না পারে।</t>
  </si>
  <si>
    <t>মুসলিম ও খ্রিস্টান সম্প্রদায়ের মধ্যে দীর্ঘ ১৫ বছর ধরে চলা গৃহযুদ্ধে লক্ষাধিক মানুষ নিহত হয়।</t>
  </si>
  <si>
    <t>সভাপতির বক্তব্যে ডিবেট ফর ডেমোক্রেসির চেয়ারম্যান হাসান আহমেদ চৌধুরী কিরণ বলেন, মতিঝিলের শাপলা চত্বরে ৫ মে গভীর রাতে হেফাজতে ইসলামের গণসমাবেশে যৌথ বাহিনীর অভিযানে যে হত্যাকাণ্ড ঘটেছিল, তা বাংলাদেশের ইতিহাসে এক কলঙ্কময় অধ্যায়। ঘুমন্ত মুসল্লিদের ওপর এই বর্বর গণহত্যার বিচার এখন সময়ের দাবি।</t>
  </si>
  <si>
    <t>২০১৭ সালের ফেব্রুয়ারিতে এক গোষ্ঠী ধর্মীয় অনুভূতিতে আঘাত দেয়ার অভিযোগে এক শিল্পীর প্রদর্শনীতে হামলা চালিয়ে তাকে মারাত্মক আহত করা হয়; ১৫ জন নিহত হন।</t>
  </si>
  <si>
    <t>চাঁদপুরের গ্রামে ধর্মীয় উগ্রতার কারণে ব্যাপক সংঘর্ষের ঘটনা ঘটে। পুলিশ পরিস্থিতি নিয়ন্ত্রণে আনার জন্য লাঠিচার্জ করে, কিন্তু জনতা তাদের প্রতিহত করে। অন্তত ৫১ জন নিহত হন। আক্রান্তরা তাদের বসতঘর ও মন্দির পুড়িয়ে ফেলে। বহু মানুষ নিরাপত্তার অভাবে গ্রাম ছেড়ে পালিয়ে যায়। প্রশাসনের তৎপরতা অপ্রতুল থাকায় পরিস্থিতি নিয়ন্ত্রণে আনা যায়নি।</t>
  </si>
  <si>
    <t>বরিশালে খ্রিস্টান পরিবারের ওপর হামলা</t>
  </si>
  <si>
    <t>ধর্ম মানুষের শান্তির জন্য কিন্তু এখন সেটা পলিটিক্সে রূপান্তরিত হয়ে মানুষদের মারতেছে। আমি সেকুলার হলেও এটা মানে উপরওয়ালা ছাড়া আমাদের অস্তিত্ব নেই।</t>
  </si>
  <si>
    <t>জোহরের নামাজের পর আল্লাহর সন্তুষ্টির আশায় মুসলিম জনতা ঈমানি জজবা নিয়ে জড়ো হয়। ধারণা করা হয়, লক্ষাধিক মানুষ তৌহিদি চেতনায় সমবেত হয়েছিল।</t>
  </si>
  <si>
    <t>সেখানে অবশিষ্ট হিন্দুদের বিরুদ্ধে অকথ্য অত্যাচার করা হয়। মন্দিরগুলি ভেঙে ফেলা হয়। নারীদের অপহরণ ও ধর্ষণ করা হয়।</t>
  </si>
  <si>
    <t>সরকারের পতনের পর লীগের পদধারী হিন্দু নেতাকর্মী ছাড়াও শতাধিক সংখ্যালঘু পরিবার আক্রমণের শিকার হয়েছে। রাজধানী, চট্টগ্রাম মহানগর ও বিভাগীয় শহরগুলোয় সাম্প্রদায়িক হামলা খুব একটা না হলেও গ্রামীণ এলাকায় বিশেষ করে যশোর, খুলনা, বাগেরহাট, সাতক্ষীরা জেলার প্রত্যন্ত অঞ্চলে নির্যাতন-নিপীড়ন হয়েছে।</t>
  </si>
  <si>
    <t>বাংলাদেশ হিন্দু বৌদ্ধ খ্রিস্টান ঐক্য পরিষদ গত বছরের শেষ পাঁচ মাসে সাম্প্রদায়িক সহিংসতায় ২৩ জন নিহত হওয়ার যে তথ্য দিয়েছে তা নিয়ে সম্প্রতি সংবাদ সম্মেলন করে প্রধান উপদেষ্টার দপ্তর৷ সেখানে দাবি করা হয়, একটি ঘটনার বিস্তারিত তথ্য পাওয়া যায়নি</t>
  </si>
  <si>
    <t>প্রান্তিক জনতার মধ্যে থেকে দলিত নিম্নবর্ণের লোকজন– যারা আগে বৌদ্ধ ধর্মের জাতপ্রথার বিরুদ্ধ বাণীতে আকৃষ্ট হয়েছিল– তারাও পরিবর্তিত ভূ-রাজনৈতিক কারণে সনাতন ধর্মে ফিরে যেতে শুরু করে।</t>
  </si>
  <si>
    <t>এইখানে সংখ্যালঘু ধর্মীয় সম্প্রদায়ের মন্দির ঘরবাড়িতে হামলা চালানো হয় উগ্রপন্থীদের দ্বারা। পরে সরকার দোষারোপ করে সংখ্যালঘুদের নেতাদের উপর।</t>
  </si>
  <si>
    <t>২১শে আগস্ট ২০০৬-এ, ৪০ বছর বয়সী জনকরানি সাগর জেলায় স্বামীর অন্ত্যেষ্টিতে পুড়ে মারা যান, যাকে কেউ বাধ্য বা প্ররোচিত করেনি।</t>
  </si>
  <si>
    <t>কুমিল্লার একটি মসজিদের গেট ভেঙে প্রবেশ করে একদল দুর্বৃত্ত পাথর নিক্ষেপ করে এবং মসজিদে ভাঙচুর চালায়, যা মুসল্লিদের মধ্যে আতঙ্ক সৃষ্টি করে।</t>
  </si>
  <si>
    <t>ভিন্নধর্মী হওয়ার কারণে বহু মানুষ বিদ্বেষমূলক আক্রমণের শিকার হয়েছে, যা ইতিহাসে নির্মম অধ্যায় হিসেবে রয়ে গেছে।</t>
  </si>
  <si>
    <t>১৯৮৪ সালের শিখবিরোধী দাঙ্গায় হাজার হাজার শিখ নিহত হন, যা ধর্মীয় অসহিষ্ণুতার শামিল এক ভয়ানক ঘটনা।</t>
  </si>
  <si>
    <t>ভাই, আরেকটি ভিডিও বানান জান্নাত নিয়ে - কতবার দেখেছি এই ভিডিও, হিসেব নেই - ভিডিও একপ্রকার মুখস্থ হয়ে গিয়েছি। রেফারেন্সসহ নতুন জান্নাত ভিডিও দিলে খুশি হবো, প্রিয় ভাই।</t>
  </si>
  <si>
    <t>দিনাজপুরে দুর্গাপূজার মণ্ডপে প্রতিমা বিসর্জনের আগেই আগুন লাগিয়ে দেয়া হয়, প্রতিমা সম্পূর্ণরূপে ধ্বংস হয়।</t>
  </si>
  <si>
    <t>৩০ মে সোমবারে সিলেটের বিয়ানীবাজারের বাসুদেব মন্দিরের বারান্দায় ভক্তগণ ধর্মীয় আচার পালনের সময় তাদের উপর অতর্কিত হামলা ও শ্লীলতাহানির ঘটনা হয়।ঘটনায় ১০ ভক্ত আহত হন।</t>
  </si>
  <si>
    <t>সব গোত্র, শ্রেণি ও পেশার মানুষের মধ্যে ধর্ম তার ইমান ও বিশ্বাস। ওই বিশ্বাস থেকে তিনি ধর্ম পালন ও অনুসরণ করেন, ধর্মীয় আচার-অনুষ্ঠান পালন করে থাকেন।</t>
  </si>
  <si>
    <t>বৌদ্ধ সম্প্রদায়ের কিছু সদস্য অন্য ধর্মাবলম্বীদের বিরুদ্ধে অবজ্ঞাসূচক মন্তব্য করে যা সামাজিক অশান্তি সৃষ্টি করে।</t>
  </si>
  <si>
    <t>তালিবানরা ক্ষমা করেছে, কিন্তু [বাংলাদেশের কাশিমপুর] অঞ্চলের হিন্দু পণ্ডিতদের ওপর অত্যাচার এখনো চলছেই, যারা তাদের বাড়ি থেকে পালিয়ে এসেছে।</t>
  </si>
  <si>
    <t>দু‌'হাজার পনের সালে শার্লি এব্দো হত্যাকাণ্ডের মত নিহতদের স্মরণে দেশজুড়ে এক মিনিটের যে নীরবতা কর্মসূচি নেওয়া হয়েছিল, তাতে বেশ কিছু মুসলিম শিক্ষার্থী অংশ নিতে অস্বীকার করেছিল।</t>
  </si>
  <si>
    <t>চুয়াডাঙ্গায় ধর্মীয় অনুষ্ঠানে নারী সন্ন্যাসিনীদের পোশাক নিয়ে কটূক্তি করে যুবকেরা, পরে অনুষ্ঠান বন্ধ হয়ে যায়।</t>
  </si>
  <si>
    <t>দেশভাগ বা তার ঠিক আগে থেকে বিদেশী শাসকরা তাদের স্বার্থে হিন্দু মুসলমানের মধ্যে এই বিষ ঢুকিয়ে দিয়ে গেছে।</t>
  </si>
  <si>
    <t>সে বছর ১৬ অগস্ট হিন্দু-মুসলিমদের মধ্যে হিংসার বিস্ফোরণে যত মানুষ খুন হল, যত সম্পত্তি ধ্বংস হল, অতীতে তার নজির মেলে না।</t>
  </si>
  <si>
    <t>ইসলাম হলো এক ও অদ্বিতীয় আল্লাহ-এর কাছে আত্মসমর্পণ করা।</t>
  </si>
  <si>
    <t>কোরআন অবমাননাকারীদের জন্য দুনিয়া ও আখিরাতে চরম দুর্ভোগ ও ভয়াবহ শাস্তির ঘোষণা দিয়েছেন আল্লাহ তায়ালা।</t>
  </si>
  <si>
    <t>ব্রাহ্মণবাড়িয়ায় হিন্দু-মুসলিম সংঘর্ষে অন্তত ২৮ জন নিহত হন এবং মন্দির ও মসজিদ ক্ষতিগ্রস্ত হয়।</t>
  </si>
  <si>
    <t>২০২২ সালের জানুয়ারিতে এক ধর্মীয় মিছিলে হিংসা ছড়িয়ে পড়ে, এতে ৪৮ জন নিহত হয় এবং বহু মানুষ গৃহহীন হয়ে পড়ে।</t>
  </si>
  <si>
    <t>২০১৬ সালের ৩০ অক্টোবর, ব্রাহ্মণবাড়িয়ার নাসিরনগরে ফেসবুকে ধর্ম অবমাননার অভিযোগে হিন্দু সম্প্রদায়ের উপর হামলা চালানো হয়। ১৯টি মন্দির ও প্রায় ৩০০টি বাড়ি ভাঙচুর করা হয়, শতাধিক মানুষ আহত হয়, অন্তত ২৫ জন নিহত হন।</t>
  </si>
  <si>
    <t>মাগুরায় সংখ্যালঘু হিন্দুদের বসতঘর ও পবিত্র স্থান ভাঙচুর ও অগ্নিসংযোগের ফলে অন্তত ৩৮ জন নিহত হন।</t>
  </si>
  <si>
    <t>ফেনী নদীতে মাছ ধরার সময় কিছু হিন্দু জেলে ও মুসলিমদের মধ্যে সংঘর্ষ হয়। একজন মারা যায় আর আরও দুজন মারত্মক আহত হয়।</t>
  </si>
  <si>
    <t>বিশ্বজুড়ে ধর্মের নামে নির্বিচারে রক্তপাত চালিয়ে যাচ্ছে উগ্র সন্ত্রাসীরা, কনসার্ট হলেও হামলা করে প্রমাণ দিচ্ছে যে কেউ নিরাপদ নয়।</t>
  </si>
  <si>
    <t>৫ ওয়াক্ত এর জায়গায় ৭ ওয়াক্ত কখনো পড়া যাবে না, ইবাদত এর নিয়ম আছে, নিয়ম সুন্নাহ বাহিরে কিছু করে আমলের আশা করা বোকামি ছাড়া কিছু না।</t>
  </si>
  <si>
    <t>হিন্দু ও আদিবাসীদের উপর গণহত্যা চালিয়ে হত্যা ধর্ষণ এবং আত্মহত্যায় বাধ্য করা হয়। গারো সম্প্রদায়সহ অনেকে দেশ ছাড়ে।</t>
  </si>
  <si>
    <t>রমনা কালী মন্দিরের চারপাশের গ্রামটি ছিল রেস কোর্সের কেন্দ্রস্থলের একটি প্রাচীন হিন্দু পল্লী। এই গ্রামে প্রায় ২০০০ হিন্দু পুরুষ, নারী ও শিশু বাস করত। এমনকি ঢাকার সবচেয়ে ভয়াবহ হিন্দু-মুসলিম দাঙ্গার সময়ও গ্রামটি অক্ষত ছিল।</t>
  </si>
  <si>
    <t>বৌদ্ধ সম্প্রদায়ের কিছু সদস্য অন্য ধর্মাবলম্বীদের অবজ্ঞাসূচক মন্তব্য করে যা সমাজে অশান্তি বাড়ায়।</t>
  </si>
  <si>
    <t>২০২১ সালের জানুয়ারিতে এক গোষ্ঠী ধর্মীয় বিদ্বেষের কারণে এক সাংবাদিককে হত্যা করা হয় এবং বিক্ষোভ চলাকালীন ১১ জন নিহত হয়।</t>
  </si>
  <si>
    <t>ষষ্ঠীতলায় হিন্দুদের ঘরবাড়িতে অগ্নিসংযোগ হয়েছে এবং নারকেল ডাঙ্গার কাছে ৫টি মৃতদেহ পড়ে আছে।</t>
  </si>
  <si>
    <t>নেত্রকোনার এক পৌর এলাকায় মাত্র এক কিলোমিটারের মধ্যে তিনটি হিন্দু মন্দিরে প্রতিমা ভাঙচুরের ঘটনা ঘটে, যা সংখ্যালঘুদের ওপর ধর্মীয় সহিংসতার উদ্বেগজনক নিদর্শন।</t>
  </si>
  <si>
    <t>যখন সমাজে অনাচার বাড়ে, তখন ধর্মীয় বোধই মানুষকে সঠিক পথে ফিরিয়ে আনে।</t>
  </si>
  <si>
    <t>শুধু ইসলাম নয়, খ্রিস্ট ও সনাতন ধর্মেও আত্মহত্যাকে মহাপাপ বলা হয়। ধর্মগুরুরা জানান, জীবন ঈশ্বরের দান, তাই তা নেওয়ার অধিকার মানুষের নেই।</t>
  </si>
  <si>
    <t>বৌদ্ধ ধর্মের কিছু ধর্মানুরাগী অন্য ধর্মের অনুসারীদের নিয়ে অবজ্ঞাসূচক মন্তব্য করে যা ধর্মীয় সহনশীলতাকে হুমকির মুখে ফেলছে।</t>
  </si>
  <si>
    <t>ভালো মানুষ হতে ধর্মের প্রয়োজন নেই; সততা, নৈতিকতা, প্রেম ও সংযত মনোভাবই যথেষ্ট।</t>
  </si>
  <si>
    <t>এঁরা প্রমাণ করেছেন পৃথিবীতে মনুষ্যত্বের বাইরে কোনো ধর্ম নেই, মানবিকতার চেয়ে চমৎকার কোনো শিক্ষা নেই। একটা ভালো কাজ মুসলিম করলেও ভালো, খ্রিষ্টান করলেও ভালো, নাস্তিক করলেও ভালো! ‘ভালো’কে ভালো বলতে পয়সা লাগেনা, কেবল মানুষ হওয়া লাগে! ঠিক আছে?</t>
  </si>
  <si>
    <t>ধর্মীয় নিপীড়নের আতঙ্কে হিন্দু নারীরা শাঁখা ভেঙে ও সিঁদুর মুছে ফেলে। কেউ মন্দিরে লুকালেও সাম্প্রদায়িক হামলাকারীরা তাদের বের করে এনে মন্দিরের সামনে আলাদা লাইনে দাঁড় করায়।</t>
  </si>
  <si>
    <t>মহাশিবরাত্রির সকালে অর্থাৎ ২৬ ফেব্রুয়ারী, বুধবার সকালে তাড়াতাড়ি ঘুম থেকে উঠে স্নান ইত্যাদি করার পর হাতে জল-চাল নিয়ে ব্রত-পুজোর সংকল্প নিন। যে ব্রত আপনি করতে চান, সেই অনুযায়ী সংকল্প নিতে হবে।</t>
  </si>
  <si>
    <t>সোমালিয়ার আল-শাবাব জঙ্গিরা কেনিয়ার গারিসা বিশ্ববিদ্যালয়ে খ্রিস্টান শিক্ষার্থীদের টার্গেট করে হামলা চালায়, যেখানে ১৪৮ জন নিহত হন।</t>
  </si>
  <si>
    <t>বাংলাদেশে একটি মুসলিম রাজনৈতিক কর্মসূচিকে কেন্দ্র করে সংখ্যালঘু মুসলিমদের উপর সংখ্যাগরিষ্ঠ হিন্দুদের সম্মিলিত হামলার গুজব ছড়িয়ে পড়ে, যা পূর্ববর্তী ধর্মীয় ক্ষোভকে আবারও উসকে দেয় এবং সহিংসতার পরিবেশ সৃষ্টি করে।</t>
  </si>
  <si>
    <t>১০ অক্টোবর চট্টগ্রামে কোতোয়ালি থানার ফিরিঙ্গবাজার এলাকায় দুর্গা প্রতিমাকে ট্রাকে করে নিয়ে যাওয়ার সময় সেখানে অবস্থিত ফলের আড়ৎ থেকে জাম্বুরা ছুড়ে মারা হয়, যার ফলে দুর্গা-বিগ্রহের একটি হাত ভেঙে যায়।</t>
  </si>
  <si>
    <t>কক্সবাজারের রামুতে একটি বৌদ্ধ মন্দিরে হামলা ও ভাঙচুরের ঘটনার প্রেক্ষিতে ২০১৪ সালের ১২ই মে সুপ্রিম কোর্ট বান্দরবানের নাইক্ষংছড়ি উপজেলার চেয়ারম্যান তোফায়েল আহমেদকে চার সপ্তাহের মধ্যে নিম্ন আদালতে আত্মসমর্পণের নির্দেশ দেয়।</t>
  </si>
  <si>
    <t>হিন্দু সম্প্রদায়ের অনেকেই অন্য ধর্মাবলম্বীদের প্রতি বিদ্বেষপূর্ণ মনোভাব নিয়ে ধর্মীয় শান্তি নষ্ট করছে।</t>
  </si>
  <si>
    <t>সে রোজা নিয়ে বাজে মন্তব্য করে এবং নবিকে নিয়ে খারাপ মন্তব্য করে। যার ধর্ম তার কাছে তোমার হঠাৎ মুসলিম দের নিয়ে লাগছো কেন বোন</t>
  </si>
  <si>
    <t>দেশের সরকার যদি এখনো পদক্ষেপ না নেয়, তাহলে আমাদের পীরগঞ্জ উপজেলা সহ সারা দেশে হিন্দু মুসলিম এই সংঘাত আরও ভয়ংকর রূপ নিতে পারে বলে আমি করি</t>
  </si>
  <si>
    <t>বরিশালের একটি গির্জার জানালা ভেঙে ঢুকে ধর্মীয় মূর্তি ও পবিত্র গ্রন্থগুলো ছিঁড়ে ফেলা হয়, এতে স্থানীয় খ্রিস্টান সম্প্রদায় গুরুতরভাবে আহত হয়।</t>
  </si>
  <si>
    <t>এক বৌদ্ধ মঠে আগুন লাগিয়ে দেয় উগ্রপন্থীরা, বহু ধর্মগ্রন্থ পুড়ে যায়, ভিক্ষুদের মারধর করে তাড়িয়ে দেওয়া হয়। মোট নিহত: ১৫ জন।</t>
  </si>
  <si>
    <t>চুয়াডাঙ্গায় একটি মসজিদের ইমামের গাড়িতে কাঁচ ভাঙচুর ও হুমকি চিঠি রেখে যায় একদল মুখোশধারী।</t>
  </si>
  <si>
    <t>চুয়াডাঙ্গায় ধর্মীয় বিতর্কের কারণে সংঘর্ষে ৪৫ জন প্রাণ হারায়। পুলিশ পরিস্থিতি নিয়ন্ত্রণের চেষ্টা করলেও সহিংসতা বেড়ে যায়। সরকার সবাইকে শান্ত ও দায়িত্বশীল থাকার আহ্বান জানায়। আক্রান্ত পরিবার নিরাপত্তার জন্য আশ্রয় খুঁজে নেয়।</t>
  </si>
  <si>
    <t>তখন উপলব্ধি করতে পেরেছি যে এই সেক্যুলারদের সাথে তাল মেলানো মানে বোকামি। এই গোষ্ঠী প্রায় পুরোটাই ইতর, ছোটলোক এবং শুধুই ইসলামবিদ্বেষী।</t>
  </si>
  <si>
    <t>চট্টগ্রাম আদালতের এপিপি সাইফুল ইসলাম আলিফকে সনাতনী জাগরণ জোটের সমর্থকরা কুপিয়ে হত্যা করেছে, যা নজিরবিহীন। নাহিদ ইসলাম জানিয়েছেন, শিগগিরই সন্ত্রাসীদের গ্রেফতার করা হবে।</t>
  </si>
  <si>
    <t>হিন্দুদের দোষ দেওয়া বা তর্ক করা লাভ হয় না। যারা এসব করছে, তাদের দোষ এবং অনুমতিদাতা গুরুত্বপূর্ণ। সরকারের অধিকাংশ মুসলিম হলেও এমন ঘটনা ঘটছে।</t>
  </si>
  <si>
    <t>ঢাকা বিশ্ববিদ্যালয়ে যদি ধুমধাম এর সাথে সরস্বতী পূজা উদযাপন করা হতে পারে, তাহলে কোরআন তেলাওয়াতে সমস্যাটা কোথায়?</t>
  </si>
  <si>
    <t>দেশি অস্ত্রশস্ত্র নিয়ে মিছিল করে হিন্দু অধ্যুষিত এই গ্রামের সব বাড়িঘরই ভাঙচুর ও লুটপাট করে তারা। এ সময় প্রায় ৮০টি বাড়ি ভাঙচুর ও লুটপাট করা হয়।</t>
  </si>
  <si>
    <t>আমি নিজে মুসলমান এবং ইসলাম ধর্মের প্রতি সম্মান রেখে বলছি, ইসলাম ধর্মকে অবমাননা করার দুঃসাহস আমার নেই।</t>
  </si>
  <si>
    <t>ধর্ম অবমাননার অভিযোগে লালমনিরহাটে এক ব্যক্তিকে পিটিয়ে হত্যা, মৃতদেহে আগুন</t>
  </si>
  <si>
    <t>১৭ এপ্রিল ২০২৪ ঠাকুরগাঁও জেলার বালিয়াডাঙ্গীতে নির্মীয়মাণ একটি শিবমন্দিরে হামলা করে কাঠ ও পাথরের প্রতিমা ভেঙে ফেলে</t>
  </si>
  <si>
    <t>হিন্দু ধর্মে সৎকর্ম এবং সৎপথে চলা মানবতার জন্য শিখনের পথ, যা অন্যের প্রতি সহানুভূতির প্রতি গুরুত্ব দেয়।</t>
  </si>
  <si>
    <t>হিন্দু বৌদ্ধ খৃষ্টান ঐক্য পরিষদ অভিযোগ করেছে, দেশে বিভিন্ন সময় ধর্ম অবমাননার গুজব ছড়িয়ে হিন্দুদের বাড়িঘরে হামলা এবং অগ্নিসংযোগের ঘটনা ঘটেছে। কিন্তু কোনটারই বিচার হয়নি।</t>
  </si>
  <si>
    <t>যারা ট্রল করে মজা নিচ্ছেন, তারা হিন্দুদের ঘৃণা ছড়াচ্ছে। আপনাদের মতো মুসলমানরা শুধু ধর্মের নাম ডুবায়, সম্মান বলতে কিছুই নেই।</t>
  </si>
  <si>
    <t>কোরআন আমাদের অক্সিজেন। কোরআনের জন্য আমরা জিবন দিতে প্রস্তুত। যারা যারা আমাদের কোরআন অবমাননা করেছে পুড়িয়ে দিয়েছে তাদের বিচার দুনিয়াতে হবে</t>
  </si>
  <si>
    <t>সৃষ্টিকর্তা যদি সাত আসমানে থাকেন, তবে আমরা কাবার দিকে কেন সালাত আদায় করি—এই বিষয়টি ধর্মীয়ভাবে আরও ভালোভাবে বুঝতে চাই যেন বিশ্বাস আরও মজবুত হয়।</t>
  </si>
  <si>
    <t>আপনি বললেন সাধুদেরকে কখন অশ্লীল গান বাজনা শোনা যাবে না, কিন্তু বাংলাদেশে একটা দূর্গা পূজা মন্ডবদেখাবেন যেখানে অশ্লীল মেয়েদের কে নিয়ে নাচ গান এবং নিত্য দেওয়া হয় না। তাহলে আপনিই বলেন আপনার কথাটি কতটুকু সত্য যাচিত হইল???</t>
  </si>
  <si>
    <t>ওরা নিজেদের মুসলিম বলে, কিন্তু কাজ দেখে মনে হয় শয়তানের বংশধর ইসলামের নামেই কলঙ্ক ওরা।</t>
  </si>
  <si>
    <t>এক গাঁওয়ে হিন্দুদের ধর্মীয় উৎসব বন্ধ করতে চেয়ে সংঘর্ষ হয়, যেখান থেকে ১৮ জন প্রাণ হারান।</t>
  </si>
  <si>
    <t>মৌলবাদ বিরোধী আন্দোলন, স্বাধীনতা বিরোধী অপশক্তির বিরুদ্ধে আন্দোলনকে ভেস্তে দিতে একটা মৌলবাদী গোষ্ঠী এই সাম্প্রদায়িকতাকে ব্যবহার করে সাধারণ মানুষের মনে বিভক্তি সৃষ্টি করছে।</t>
  </si>
  <si>
    <t>রাঙ্গামাটিতে এক ধর্মীয় গোষ্ঠী সংখ্যালঘুদের উপর হামলা চালিয়ে ২৯ জন প্রাণ হারায়।</t>
  </si>
  <si>
    <t>২০২০ সালে অজ্ঞাত ব্যক্তিরা একটি ইসলামিক সেন্টারে ঢুকে ভাঙচুর চালায়, এতে শিক্ষার্থীরা আতঙ্কিত হয়ে পালাতে গিয়ে আহত হয়।</t>
  </si>
  <si>
    <t>রাজা মিহিরকুল (রাজত্বকাল ৫১৫ খৃষ্টাব্দ) বৌদ্ধবাদকে দমন করেন। তিনি এমনকি হালের এলাহবাদ থাকা বৌদ্ধ মন্দিরগুলোও ধ্বংস করেন। [নোট: শ্বেতাঙ্গ হুনেরা পরে ব্রাহ্মণদের কল্যানে রাজপূত হিন্দুত্ব গ্রহণ করে আর বৌদ্ধবাদের প্রতি বিরূপ বা বৈরী হয়ে পড়ে।] আর এইসব বৌদ্ধমঠগুলোর ধ্বংস ঘটে এতদ অঞ্চলে ইসলাম প্রবেশের বহুকাল আগেই।</t>
  </si>
  <si>
    <t>পহেলা বৈশাখে হিন্দু, মুসলিম, খ্রিস্টান, বৌদ্ধ – সবাই মিলে আনন্দ করে। উৎসবের এই মেলবন্ধন আমাদের সামাজিক ঐক্যের প্রতীক।</t>
  </si>
  <si>
    <t>হিন্দু এবং মুসলিমের মধ্যে শান্তিপূর্ণ সহাবস্থান সমাজের জন্য একটি অনুকরণীয় উদাহরণ হয়ে ওঠে, যেখানে তারা একে অপরের পারস্পরিক সম্মান এবং ভালোবাসা দিয়ে জীবনের প্রতিটি ক্ষেত্রে একে অপরকে সহযোগিতা করেন।</t>
  </si>
  <si>
    <t>এক. ক্ষমতাসীন অনির্বাচিত শাসক গোষ্ঠী যাদের আরো দীর্ঘ সময় অবৈধভাবে ক্ষমতায় থাকার জন্য বাংলাদেশকে সাম্প্রদায়িক রাষ্ট্র দেখিয়ে আন্তর্জাতিক লেজিটিমেসি আদায় করা । দুই. সীমান্তের ওপারে বাংলাদেশ এবং মুসলিম বিদ্বেষী দাঙ্গাবাজ সন্ত্রাসী বিজেপি</t>
  </si>
  <si>
    <t>আমি সনাতন ধর্মের আমিও গৌতম বুদ্ধকে সম্মান শ্রদ্ধা করি</t>
  </si>
  <si>
    <t>নোয়াখালীর একটি বৌদ্ধ বিহারের ছাদের ওপর থেকে বড় ধর্মীয় পতাকা ছিঁড়ে ফেলা হয়, যা স্থানীয় বৌদ্ধ সম্প্রদায়ের মাঝে বড় ধরণের অসন্তোষ সৃষ্টি করে।</t>
  </si>
  <si>
    <t>বিতর্কিত স্থানটি হিন্দুদের বিশ্বাস অনুসারে রামের জন্মস্থান ছিল এবং বাবরি মসজিদ একটি হিন্দু মন্দির ভেঙে দেওয়ার পরে নির্মিত হয়।</t>
  </si>
  <si>
    <t>কুমিল্লায় মহাগ্রন্থ পবিত্র কোরআন শরীফ কে অবমাননা। খুবই নিষ্কৃষ্ট ভাবে দেবতার পায়ের উপর রাখছে।</t>
  </si>
  <si>
    <t>সেই মানুষগুলো মুসলিমদের নিয়ে আলোচনা করার সময় যখন বলবে- ❝সব হুজুরই খারাপ❞, সেই খারাপের দায়টা কিন্তু বর্তায় আপনার উপর, আমার উপর, যারা কারো সাথে খারাপ আচরণ/ অনৈসলামিক কোন কাজ করার সময় মনে মনে ভেবেছিলাম- এখানে আমাকে আর কে চিনছে? আমাদের কাছে কার স্বার্থ বড়, আমার নিজের, না ইসলামের?</t>
  </si>
  <si>
    <t>মহান আল্লাহ এ রাতটিকে ‘লাইলাতুল কদর’ হিসেবে আখ্যায়িত করেছেন। কদর নামে একটি সুরা নাজিল করেছেন। এ রাতের বৈশিষ্ট্য ও ফজিলত বর্ণনা করেছেন।</t>
  </si>
  <si>
    <t>ইসলামী বিশ্বাস অনুযায়ী, মুহাম্মদ (সা.) ইসমাইলের বংশধর এবং আদনানি জাতির কুরাইশ বংশের হাশিমী শাখার সদস্য।</t>
  </si>
  <si>
    <t>সুনামগঞ্জে হিন্দু-মুসলিম দাঙ্গায় অন্তত ৩৭ জন নিহত হন এবং বহু মানুষ আহত হয়।</t>
  </si>
  <si>
    <t>ধর্মীয় উস্কানিতে একটি বিশ্ববিদ্যালয়ে সহিংসতা ছড়িয়ে পড়ে, যেখানে ছাত্র-ছাত্রীদের হত্যা ও ধর্ষণ করা হয়; এতে ৩৯ জন নিহত হন।</t>
  </si>
  <si>
    <t>ঝালকাঠি থেকে প্রকাশিত প্রতিবেদনে বলা হয়েছে, ধর্মীয় মূল্যবোধ রক্ষার জন্য আনা প্রস্তাব অধিকাংশ দেশের সমর্থন পেলেও, কিছু শক্তি এটিকে মতপ্রকাশের স্বাধীনতার বিরুদ্ধে দাবি করে বিরোধিতা করেছে।</t>
  </si>
  <si>
    <t>ধর্মীয় উগ্রবাদীরা মেয়েদের খেলাধুলা নিষিদ্ধ করে, যারা খেলে তাদের উপর সহিংসতা চালায়; এতে ১৩ জন নিহত হন।</t>
  </si>
  <si>
    <t>ধর্মীয় পরিচয়ের জন্য সংখ্যালঘু বৌদ্ধ পরিবারদের বাড়িঘরে আগুন লাগিয়ে দেয়ার পর তারা জঙ্গলে আশ্রয় নিতে বাধ্য হয়। মোট নিহত: ১৭ জন।</t>
  </si>
  <si>
    <t>২০১৮ সালের জানুয়ারিতে ধর্মীয় উত্তেজনায় শিক্ষার্থীদের মধ্যে সংঘর্ষে ২২ জন নিহত হয়।</t>
  </si>
  <si>
    <t>খ্রিস্টান ধর্মের কিছু উগ্রপন্থী সম্প্রদায় জোরপূর্বক ধর্মান্তর করানোর চেষ্টা করে যা দেশের শান্তি ও সৌহার্দ্য বিনষ্ট করছে।</t>
  </si>
  <si>
    <t>মুসলিম সম্প্রদায়ের কিছু উগ্রপন্থী তাদের ধর্মীয় মতাদর্শ ছড়িয়ে অন্য ধর্মের প্রতি বিদ্বেষ ও হিংসা বৃদ্ধি করছে।</t>
  </si>
  <si>
    <t>পূজা কী ২০২৩ সালে বিশ্ববিদ্যালয় গুলোতে হয় নি?হয়েছে তো তখন তো কেউ কিছু বলে নি।এখন বলতেছে কারণ পূজা করতে পারলে ইফতারের আয়োজন কেন করতে পারবে না</t>
  </si>
  <si>
    <t>যে ভার্সিটিতে পড়া মেয়েরা ইসলাম মানে না তাদের বিয়ে করলে সন্তান হারাম পথে চলবে মা থাকবে নির্লজ্জ।</t>
  </si>
  <si>
    <t>কাফেরদের দৃষ্টান্তমূলক শাস্তি দরকার যারা কোরআনের অবমাননা করেছে, নইলে মুসলিমদের ধৈর্যকে দুর্বলতা ভাববে ওরা।</t>
  </si>
  <si>
    <t>ফলশ্রুতিতে আবার বাঙ্গালী হিন্দু শরণার্থীরা বাংলাদেশে এসে পড়ে। এই পীড়িত হিন্দু শরণার্থীরা দেশের জাতীয় সমস্যা হয়ে দাঁড়ায়। সরকার তাদের পুনর্বাসনের ব্যবস্থা করে।</t>
  </si>
  <si>
    <t>একজন মানুষ যদি তার লিঙ্গ নিয়ে বিভ্রান্ত থাকে, তবে মানবতার কল্যাণে বড় সংগ্রাম, যুদ্ধ বা সভ্যতা রক্ষার মতো কাজ করা কঠিন।</t>
  </si>
  <si>
    <t>কিছু হিন্দুত্ববাদী দালালদের উদ্দেশে বলা হয়েছে, দালালি বাদ দিয়ে বাংলাদেশকে নিজের দেশ হিসেবে মানুন এবং সাম্প্রদায়িক দাঙ্গা লাগানোর চেষ্টা থেকে বিরত থাকুন।</t>
  </si>
  <si>
    <t>আল্লাহ্ আমাদের রাসূল সাঃ এর দোয়ার মতোই আমরা প্রার্থনা করি—রাহিম খানকে ইসলামের পথে হেদায়েত দিকেন, যেন বিশ্বের যুদ্ধে উৎসাহিত শত্রুরা তাকে পরাস্ত করতে না পারে।</t>
  </si>
  <si>
    <t>মুলাদি হত্যাকাণ্ড ছিল আনসার ও পুলিশের সক্রিয় যোগসাজশে বন্দুকধারী সশস্ত্র জনতা কর্তৃক ১৯৫০ সালের ১৭ ফেব্রুয়ারি থেকে ২০ ফেব্রুয়ারি মধ্যে মুলাদি নদী বন্দরে নিরস্ত্র হিন্দু ও খ্রিস্টান পুরুষ ও বৃদ্ধ মহিলাদের গণহত্যার একটি ধারাবাহিক ঘটনা।</t>
  </si>
  <si>
    <t>লক্ষ্মীপুরে ধর্মীয় অশান্তিতে সংঘর্ষে ৪০ জন প্রাণ হারায়। পুলিশ পরিস্থিতি নিয়ন্ত্রণে রাখতে ব্যর্থ হয়, সরকার শান্ত থাকার আহ্বান জানায়। বহু পরিবার নিরাপত্তার জন্য আশ্রয় খুঁজে নেয়।</t>
  </si>
  <si>
    <t>অসাম্প্রদায়িক ধর্মান্তরিত নাগরিক হিসেবেও তাদের এমন বিতর্কিত সিদ্ধান্ত দেখে অবাক লাগছে। কিন্তু তাই বলে আমরা হিন্দুরা কি করেছি যে রেফারেন্স এটাই টানতে হয়? এই জিনিসগুলো দেখলে আসলেই ভয়ও লাগে, হাসিও পায় যে এতকাল পরে এই যুগে এসেও মানুষজন এভাবে ভাবে।</t>
  </si>
  <si>
    <t>পাবা উপজেলার পাবা থানার অন্তর্গত হুজুরিপাড়া ইউনিয়নের সরুষা গ্রামে, সংখ্যালঘু সম্প্রদায়ের ওপর আক্রমণ হয়।[৭] পাবা থানার অন্তর্গত ধাড়সা গ্রামেই ১,২০০ জন অমুসলিমকে হত্যা করা হয়।[৬] শুধুমাত্র রাজশাহী জেলাতেই ৫,০০০ অমুসলিমকে হত্যা করা হয়</t>
  </si>
  <si>
    <t>২৭ শে মে ভোরে, একটি যৌথ অভিযানে সেনাবাহিনী, আলবদর, রাজাকার গ্রামগুলিকে ঘিরে ফেলে। আল বদররা নির্বিচারে গুলি চালিয়ে দুই শতাধিক লোককে হত্যা করেছিল, বেশিরভাগ বাঙালি হিন্দু।</t>
  </si>
  <si>
    <t>আরবে ইসলাম ধর্ম অনুসারীরা তাদের ধর্মীয় সংস্কৃতি ও ঐতিহ্যকে গুরুত্ব দিয়ে পালন করে। দেশটিতে ইসলামিক মূল্যবোধ রক্ষার জন্য নির্দিষ্ট কিছু ধর্মীয় নীতিমালা রয়েছে, যা তাদের সংস্কৃতির অংশ।</t>
  </si>
  <si>
    <t>২০২০ সালের আগস্ট মাসে এক তরুণ তার বোনকে ধর্মীয় গোষ্ঠী থেকে বাঁচাতে গিয়ে হত্যা হয়; ধর্মত্যাগে সহায়তার জন্য তাকে হত্যা করা হয়; ১২ জন প্রাণ হারান।</t>
  </si>
  <si>
    <t>গোপালগঞ্জে ধর্মীয় বিদ্বেষ থেকে সংঘর্ষে ৪৫ জন নিহত হন। পুলিশ সহিংসতা দমনে ব্যর্থ হয়, সরকারের তরফ থেকে শান্তি ও ধৈর্যের বার্তা দেওয়া হয়। বহু সংখ্যালঘু পরিবার নিরাপত্তার অভাবে গ্রাম ছেড়ে চলে যায়।</t>
  </si>
  <si>
    <t>আল্লাহর আদেশ মেনে চললে জীবনে দুশ্চিন্তা কমে আসে এবং আমাদের মন প্রশান্তি অনুভব করে, যা আমাদের সকল কাজে সহায়তা করে।</t>
  </si>
  <si>
    <t>কেউ একজন একটা অরক্ষিত পুজো মণ্ডপে ষড়যন্ত্র করে কোরআন রেখে আসল আর তার জন্য দেশের বাকি জেলাগুলোতে নির্বিচারে হিন্দুদের বাড়িঘর,পূজামণ্ডপে অত্যাচার শুরু করল কিছু ধর্মান্ধ ইসলামী মৌলবাদী।</t>
  </si>
  <si>
    <t>মুসলিম হওয়ার কারণে নিরীহদের উপর গুলি চালানো হয়। অনেকে আতঙ্কে আত্মহত্যা করে। প্রত্যক্ষদর্শীরা জানায় ৮০ থেকে ১০০ জন নিহত হয়, হামলাকারীরা বিকৃত আনন্দে বলে এটি বিশ্বাসঘাতিতার মূল্য।</t>
  </si>
  <si>
    <t>ইসলামি দলগুলো প্রতিক্রিয়া জানালেও সরকারের নিরবতায় জনমনে ক্ষোভ বাড়ছে। বাংলাদেশ সরকারের উচিত ছিল উপযুক্ত প্রতিক্রিয়া জানানো।</t>
  </si>
  <si>
    <t>মানুষের মাঝে ভেদাভেদ সৃষ্টি করে যে ধর্ম, নিজের মধ্যে শ্রেষ্ঠত্ববাদের চেতনা জন্ম দেয় যে ধর্ম, সেই ধর্ম দিয়ে আপনি নিজেকে ভালো মানুষ প্রমাণ করতে পারবেন না। আপনি বরং সত্য এবং সুন্দরের পক্ষে অবস্থান নিন</t>
  </si>
  <si>
    <t>উনার সনাতনধর্ম ভালো লাগে না সেটা উনার ব্যাপার, কিন্তু এতগুলো ধর্মপ্রাণ সনাতনীর মনে আঘাত দিয়ে কথা বলার রাইট নাই, উনাকে আইনের আওতায় আনার জন্য বিনীত অনুরোধ করছি,</t>
  </si>
  <si>
    <t>২০১৯ সালের ফেব্রুয়ারিতে এক গোষ্ঠী সংখ্যালঘুদের ওপর ধর্মীয় নীতিভ্রষ্টতায় এক এতিম শিশুকে যৌন নির্যাতন করে হত্যা করে, এতে প্রতিবাদে ৯ জন আত্মহত্যা করে।</t>
  </si>
  <si>
    <t>হিন্দু সম্প্রদায়ের মধ্যে কিছু মানুষ ধর্মীয় বিদ্বেষের কারণে অন্য ধর্মের মানুষের বিরুদ্ধে অপপ্রচার চালায় এবং আক্রমণাত্মক ভাষা ব্যবহার করে।</t>
  </si>
  <si>
    <t>এই মিথ্যাচার আমার ধর্মকে ব্যঙ্গও করে আমার অস্তিত্বে আঘাত করে,,তারা আমার দেশকে ছোট করে।</t>
  </si>
  <si>
    <t>হিন্দু সম্প্রদায়ের কিছু অংশ ধর্মীয় উগ্রতা ছড়িয়ে অন্য ধর্মের প্রতি বিদ্বেষ ও অবজ্ঞা প্রকাশ করে।</t>
  </si>
  <si>
    <t>চট্টগ্রামে হিন্দু-মুসলিম সংঘর্ষে অন্তত ৩৮ জন প্রাণ হারায় এবং পরিস্থিতি নিয়ন্ত্রণে কঠোর নিরাপত্তা ব্যবস্থা নেওয়া হয়।</t>
  </si>
  <si>
    <t>ইসলামকে যতই চাপা দেওয়ার চেষ্টা করা হক না কেনো, কোনো দিনও তা চেপে রাখা সম্ভব না। বিভিন্ন জায়গায় ইফতার আয়োজনে যতই বাধা দেওয়া হয়েছে তত বড় করেই পরের বার তা আয়জন করা হয়েছে। ইনশাআল্লাহ বিজয় ইসলামের হবে। যালেম যতই যুলুম করুক না কেন, আল্লাহ সব থেকে উত্তম পরিকল্পনাকারী।</t>
  </si>
  <si>
    <t>২০১৯ সালের অক্টোবর মাসে এক গোষ্ঠী সংখ্যালঘুদের বাড়ি পুড়িয়ে দেওয়ার ঘটনায় ২৭ জন নিহত হয়।</t>
  </si>
  <si>
    <t>২০০৬ সালের ১১ মে কুয়ালালামপুরের সশস্ত্র সিটি হল অফিসাররা ৬০০ বছরের পুরনো শহরতলির মন্দিরের একটি অংশ জোর করে ভেঙে ফেলে যা এক হাজারেরও বেশি হিন্দুদের উপাসনাস্থল।</t>
  </si>
  <si>
    <t>আপনাদের নোংরা মানসিকতা পরিবর্তনের সময় এখনো আছে; মুসলিম ও হিন্দু উভয়ের প্রতি আবেদন নিজেরা বদলাতে।</t>
  </si>
  <si>
    <t>জীবনে হতাশা, দুঃখ ও নৈরাশ্য আসবে। তবে তখন ধৈর্য ধারণ করতে হবে। শয়তানের ফাঁদে পা দিয়ে নিজেকে শেষ করে দেওয়া কোনো সমাধান নয়। বরং দুঃসময়ে আল্লাহর দিকে ফিরে আসতে হবে। ইসতিগফার করতে হবে।</t>
  </si>
  <si>
    <t>২০১৬ সালের আগস্টে ধর্মীয় ভিন্নমতের কারণে এক নারীর উপর বর্বরতা চালানো হয়, তার পরিবারের প্রতিবাদে সংঘর্ষ হয়, এতে ১৭ জন নিহত হন।</t>
  </si>
  <si>
    <t>যখন হিন্দু এবং মুসলিম একত্রে শান্তিতে জীবনযাপন করে, তখন তারা একে অপরের ধর্মীয় উৎসব এবং প্রথার প্রতি শ্রদ্ধা প্রদর্শন করে, যা ঐক্য এবং ভ্রাতৃত্বের শক্তিশালী বার্তা প্রদান করে।</t>
  </si>
  <si>
    <t>জাহানপুর গ্রামের হিন্দু শরণার্থীদের ধান-চাল, শস্যদানা, পাট এবং সোনার গহনা মুসলিমরা লুট করে নিয়ে যায়।</t>
  </si>
  <si>
    <t>এর আগে বলেন- ইফতার পার্টি কবে থেকে রমজানের বা ধর্মিয় প্রোগ্রাম? রমজান কি ঘটা করে উদজাপণের জন্য?</t>
  </si>
  <si>
    <t>আলহামদুলিল্লাহ আলহামদুলিল্লাহ কথাগুলো শুনে চোখে পানি এসে গেল আল্লাহ আমাদের জান্নাতুল ফেরদৌস দান করুন আমিন</t>
  </si>
  <si>
    <t>বাংলাদেশে হিন্দু বা সংখ্যালঘুদের মধ্যে কেউ কুরআন শরীফকে মন্দির বা দেবতাদের কাছে রাখার সাহস দেখায় না। শিক্ষিত ও সংস্কৃত সম্প্রদায় অন্য ধর্মের অবমাননা করে না।</t>
  </si>
  <si>
    <t>আপনার ধারা বর্ননায় ক্ষুদ্র মস্তিষ্কের সর্বোচ্চ ধারনায় মহা সৃষ্টির কাছে আমাদের সৌরজগৎই মনে হল কিছু না। সেখানে আমাদের পৃথিবী তথা আমাদের অস্থিত্ত্ব নিয়ে ভাবতেই পারিনা। সৃষ্টির এই বিশালতাকে ধারনায় নেয়া অসম্ভব। সকল প্রশংসা আল্লাহর জন্য।</t>
  </si>
  <si>
    <t>সিরিয়ায় সুন্নি ও শিয়া সম্প্রদায়ের মধ্যে সহিংস সংঘর্ষে লক্ষাধিক নিহত ও বাস্তুচ্যুত হয়েছেন।</t>
  </si>
  <si>
    <t>আল্লাহর নির্দেশ অনুসরণ করলে আমাদের জীবন থেকে সন্দেহ ও অস্থিরতা চলে যায়, এবং আমরা সত্যিকারের শান্তি ও স্থিরতা অনুভব করি।</t>
  </si>
  <si>
    <t>কোরআন তেলাওয়াত করতে গেছে, তাই এসব নিয়ে বিতর্ক না করে সবার মঙ্গল চিন্তা করাই ভালো।</t>
  </si>
  <si>
    <t>১৯৯২ সালের ৬ ডিসেম্বর বিশ্ব হিন্দু পরিষদ এবং তাদের সহযোগী সংগঠনের কর্মীরা বাবরি মসজিদ গুড়িয়ে দেয়</t>
  </si>
  <si>
    <t>ইসলাম সম্পর্কে আলোচনা যেখানে গুরুত্বপূর্ণ, সেখানে মুসলিমরা শুধুমাত্র সেহরি ও ইফতার নিয়ে ব্যস্ত না থেকে আরও গঠনমূলক বিষয়েও মনোযোগ দিতে পারে। সামাজিক ও শিক্ষাপ্রতিষ্ঠানে ধর্মীয় কার্যক্রমের আয়োজন নিয়ে গঠনমূলক আলোচনা হওয়া উচিত, যাতে সবার মতামত ও ধর্মীয় স্বাধীনতা সম্মানিত হয়।</t>
  </si>
  <si>
    <t>যেখানে মুসলিম নেতারা হিন্দু ও খ্রিস্টানদের সুরক্ষার আশ্বাস দেন। আশ্বাস সত্ত্বেও ১৫ই ফেব্রুয়ারি কাজীরচর ও কাশেরহাটে আক্রমণ করা হয়। ১৬ তারিখ রাতে সাতানি গ্রামে আক্রমণ করে আগুন ধরিয়ে দেওয়া হয়।</t>
  </si>
  <si>
    <t>কথায় কথায় যে কাউরে জঙ্গি মৌলবাদী উগ্রবাদী বামিয়ে দাও এসব কোন চেতনা তোমাদের তোমরাই এটা জায়েজ করে সমাজে ছড়িয়েছিলে।</t>
  </si>
  <si>
    <t>২০১৯ সালের ডিসেম্বর মাসে এক তরুণকে তার ধর্মত্যাগের কারণে প্রকাশ্যে হত্যা করা হয়, প্রতিবাদে ১৫ জন নিহত হন।</t>
  </si>
  <si>
    <t>বাকিতে সিগারেট না দেয়ায় নারকীয় হামলা, ভাঙ্গার ৫ সংখ্যালঘু বাড়িতে ভাঙচুর, লুটপাট, মন্দিরে অগ্নিসংযোগ, মহিলাদের শ্লীলতাহানি, আহত ১০</t>
  </si>
  <si>
    <t>ধর্মীয় সংখ্যালঘু সম্প্রদায়ের ৯৮জন নাগরিক বিদায়ী বছর নির্মম হত্যাকাণ্ডের শিকার হয়েছেন। আহতের সংখ্যা ৩৫৭। সংবাদমাধ্যমে প্রকাশিত তথ্য পর্যালোচনা ও বিশ্লেষণ করে বছর শেষ হওয়ার একদিন আগে এই তথ্য প্রকাশ করেছে বাংলাদেশ জাতীয় হিন্দু মহাজোট।</t>
  </si>
  <si>
    <t>গীতার বানী বিশ্বব্রহ্মাণ্ড সৃষ্টির বিষয়। সনাতন ধর্মে যত আলোচনা তত সঠিক তথ্য উঠে আসবে। সনাতন তথা হিন্দু ধর্মই একমাত্র মানুষের শান্তি এবং মুক্তির পথ।</t>
  </si>
  <si>
    <t>ঢাকা বিশ্ববিদ্যালয়ে একটি প্রতিবাদ সমাবেশ হয়েছে, এবং সংবাদমাধ্যম ও সোশাল মিডিয়ার খবর অনুযায়ী, সেখানে নানা মত-পথের ছাত্র সংগঠনের অংশগ্রহণ ছিল। সমাবেশে ফরাসী প্রেসিডেন্টের নিন্দা করা হয়েছে যে তিনি মত প্রকাশের স্বাধীনতার নামে ইসলাম বিদ্বেষকে উস্কে দিচ্ছেন।</t>
  </si>
  <si>
    <t>বাংলাদেশে রোমান ক্যাথলিক ও ব্যাপটিস্টসহ কিছু আদিবাসী সম্প্রদায়ের মধ্যে খ্রিস্টান ধর্মের অনুসারী রয়েছেন।</t>
  </si>
  <si>
    <t>২০২৩ সালের ফেব্রুয়ারিতে এক গ্রামে ধর্মীয় দাঙ্গায় ৫২ জন নিহত হন; তাদের বাড়িঘর ও মন্দির ভাঙচুরের ফলে ব্যাপক ক্ষতি হয়।</t>
  </si>
  <si>
    <t>চণ্ডীপুরে মাত্র ১৬ টি পরিবারের বাস ছিল। গ্রামের সকল বাসিন্দাদের একই লাইনে দাঁড় করিয়ে বার্স্ট ফায়ার করা হয়। ৪৫জন হিন্দু এতে মারা যায়। এই গণহত্যায় মাত্র দুজন ব্যক্তি বেঁচে যায়।</t>
  </si>
  <si>
    <t>দাঙ্গার সময় একাধিক হিন্দু মন্দির এবং অজানা সংখ্যক হিন্দুও নিহত হয়েছিল, যাদের মধ্যে পাঁচজন হিন্দু সাধু (সরস্বতী সহ) বাদে যারা শুরুতেই নিহত হয়েছিল।</t>
  </si>
  <si>
    <t>মুসলিম উগ্রপন্থীরা নিজেদের ধর্মের ব্যতীত অন্য ধর্মের প্রতি বিদ্বেষ ও হিংসা ছড়াচ্ছে যা সমাজে অশান্তির কারণ।</t>
  </si>
  <si>
    <t>আমাদের বুদ্ধিজীবী ও সুশীল সমাজের পক্ষ হতে এসব ঘটনার কোনো প্রতিবাদ হয়নি। কোনো বিচার-শাস্তিও হতে দেখিনি। এই অবজ্ঞা ও নির্লিপ্ততায় সাধারণ ধর্মপ্রাণ মুসলমান ক্ষুব্ধ হয়েছেন, মর্মাহত হয়েছেন, তাদের হৃদয় ক্ষত-বিক্ষত হয়েছে, কিন্তু শান্তনা ও সহানুভূতির একটি বাক্যও কোথাও উচ্চারিত হয়নি।</t>
  </si>
  <si>
    <t>এই দেশে বৌদ্ধরা সংখ্যাগরিষ্ঠ, আর গৃহযুদ্ধে হিন্দুদের নিপীড়নে বৌদ্ধ ভিক্ষুরাই মূল ভূমিকা রেখেছে। হিন্দুরা এখনো বৌদ্ধ চরমপন্থিদের হাতে নিয়মিত নিগ্রহের শিকার হচ্ছে।</t>
  </si>
  <si>
    <t>ধর্মের নামে মন্দির মসজিদ ভাঙচুর এবং উপাসনালয়ে হামলা মানবতার কলঙ্ক। বাংলাদেশে এধরনের ধর্মান্ধ ও সহিংস আচরণের বিরুদ্ধে সকলকে সচেতন ও প্রতিরোধমূলক ভূমিকা নিতে হবে।</t>
  </si>
  <si>
    <t>একজন খ্রীষ্টানের রক্তে যখন একজন মুসলিম শিশু জীবন ফিরে পায় , আবার যখন একজন মুসলিম ভাইয়ের রক্তে একজন হিন্দু বৃদ্ধ জীবন ফিরে পায় , আবার যখন একজন হিন্দুর রক্তে একজন খ্রীষ্টান জীবন ফিরে পায় ,</t>
  </si>
  <si>
    <t>আমরা এই ঘটনার কঠোর নিন্দা জানাই। ধর্মীয় অনুভূতিতে আঘাত দেওয়া অমানবিক, এর বিরুদ্ধে সরকারকে কঠোর ব্যবস্থা নিতে হবে না হলে গুরুতর ফল ভোগ করতে হবে।</t>
  </si>
  <si>
    <t>ফরিদপুরে একটি মসজিদের ভেতরে প্রবেশ করে অগ্নিসংযোগের চেষ্টা চালানো হয়, মসজিদের অনেক অংশ পুড়ে ক্ষতিগ্রস্ত হয়।</t>
  </si>
  <si>
    <t>মাশা-আল্লাহ, অনেক সুন্দর করে বুঝিয়েছেন উস্তাদজি। আমার জন্য এখন আরো সহজ হয়ে গেলো। চেষ্টা করবো শুদ্ধ করে করে পড়ার ইনশাআল্লাহ।</t>
  </si>
  <si>
    <t>চাঁদপুরে এক ধর্মীয় গোষ্ঠীর উগ্রবাদী হামলায় ৩৮ জন নিহত হয়; ব্যাপক ক্ষতি হয়।</t>
  </si>
  <si>
    <t>ধর্মীয় বিদ্বেষের ছায়ায় চালানো আত্মঘাতী ও বিমান হামলায় উপাসনাস্থল ও আশপাশের এলাকায় অন্তত ৩৮ জন নিহত হন, নিহতদের বেশিরভাগই নামাজরত অবস্থায় প্রাণ হারান।</t>
  </si>
  <si>
    <t>সৈন্যরা ৪২ জন হিন্দুকে নিকটবর্তী কুঁড়েঘরে নিয়ে গিয়ে মেশিনগানের ব্রাশফায়ারে হত্যা করে। বুলেটের আঘাতের ক্ষত নিয়েও বেঁচে যাওয়া ব্যক্তিরা নড়ার চেষ্টা করলে, তাদের বেয়নেট দিয়ে খুঁচিয়ে হত্যা করা হয়।</t>
  </si>
  <si>
    <t>লাইট হাউস সিনেমার পাশের সমস্ত হিন্দু মালিকানাধীন দোকান ভাঙা ও লুঠপাট চলছে।</t>
  </si>
  <si>
    <t>ধর্মীয় বিদ্বেষের কারণে এক হিন্দু পন্ডিতকে বাসা থেকে তুলে হত্যা করা হয়, বিক্ষোভে ২১ জন নিহত হন।</t>
  </si>
  <si>
    <t>আল্লাহ কুরআনে বলেছেন যে, অন্য ধর্মের প্রতি শ্রদ্ধা এবং ভালোবাসা প্রদর্শন করাও সঠিক বিশ্বাসের একটি অংশ, যা শান্তি ও সমৃদ্ধি আনে।</t>
  </si>
  <si>
    <t>নরসিংদী ইনডেক্স প্লাজা এবং যে যে দোকানে এ জুতোগুলো আছে তীব্র নিন্দা জানাচ্ছি সনাতন ধর্মকে নিয়ে খেলা করার অধিকার তাদের কে দিয়েছে</t>
  </si>
  <si>
    <t>অনুরাগ (বাবু ভাইয়া) একজন কট্টর হিন্দুবাদী, যিনি তার সহকর্মীদের আবেগ ব্যবহার করে টাকা কামায়।</t>
  </si>
  <si>
    <t>২০১৯ সালের অক্টোবর মাসে এক গোষ্ঠী ধর্মীয় গোষ্ঠী সংখ্যালঘুদের বাড়ি পুড়িয়ে দেয়; এতে ২৮ জন নিহত হয়।</t>
  </si>
  <si>
    <t>হিন্দু ভাইদের বলছি, মনে কিছু নিবেন না ,নিজের হাতে মাটির তৈরি পুতুল কি পূজা করা বা উপাসনা করা কতটা যুক্তি?</t>
  </si>
  <si>
    <t>প্রতিটি ধর্মের মূল উদ্দেশ্য হচ্ছে মানুষকে তার আধ্যাত্মিক উন্নতির পথে পরিচালনা করা, যাতে সে শান্তিপূর্ণভাবে সমাজে বসবাস করতে পারে,</t>
  </si>
  <si>
    <t>বৌদ্ধগণ এতটা উৎপীড়িত হইয়াছিল যে তাহারা মুসলমানদের পূর্বকৃত শত অত্যাচার ভুলিয়া বিজয়ীগণ কর্তৃক ব্রাহ্মণ দলন এবং মুসলমান কর্তৃক বঙ্গবিজয় ভগবানের দানস্বরূপ মনে করিয়াছিল।</t>
  </si>
  <si>
    <t>মুসলিম শাসকেরা বৌদ্ধদের প্রতি এতটাই উদার ব্যবহার করেছিলেন ফলে পাইকারী হারে বৌদ্ধরা ইসলাম ধর্ম গ্রহণ করতে থাকে। পণ্ডিত হরপ্রসাদ শাস্ত্রী লিখেছেন, ‘বাংলার অর্ধেক বৌদ্ধ মুসলমান হইয়া গেলো।</t>
  </si>
  <si>
    <t>সিলেটে মন্দিরে পূজার সময় মাইক বন্ধ করে দেয়ার নির্দেশ দেয় স্থানীয় মসজিদের কিছু লোক, পরে সংঘর্ষে রূপ নেয়।</t>
  </si>
  <si>
    <t>সবচেয়ে কম হামলা হয়েছে ২০২০ সালে। তবে মন্দিরে হামলা হয়েছে ৬৭টি। তথ্য ঘেঁটে দেখা যাচ্ছে, এই সময়ের মধ্যে সবচেয়ে বেশি হিন্দু খুন হয়েছে ২০১৬ সালে, মোট সাতজন।</t>
  </si>
  <si>
    <t>হিন্দু মুসলিমের মধ্যে পারস্পরিক শ্রদ্ধা ও ভালোবাসা থাকলে, তাদের সমাজে ধর্মীয় ও সাংস্কৃতিক বৈচিত্র্যকে সম্মান জানিয়ে একটি দৃঢ় এবং শান্তিপূর্ণ সম্পর্ক প্রতিষ্ঠিত হয়।</t>
  </si>
  <si>
    <t>যারা আমাদের কে নিয়ে বলে আমরা নাকি 'শরীয়তী চিকিৎসা করি", ধর্ম দিয়ে ব্রেইন ওয়াশ করি - এটা বলার আগে এদের কি বুক কাঁপে না?</t>
  </si>
  <si>
    <t>প্রতিটি ধর্ম মানবকল্যাণ ও শান্তির পথ দেখায়, তাই অহিংসা ও সমঝোতা বজায় রেখে শান্তিপূর্ণ জীবন যাপন করা উচিত।</t>
  </si>
  <si>
    <t>সাজার পর দেশের বিভিন্ন স্থানে হিন্দুদের ওপর হামলা চালানো হয়। হিন্দু সম্পত্তি লুট করা হয়, হিন্দুদের বাড়িঘর পুড়িয়ে ছাই করা হয় এবং হিন্দু মন্দির অপবিত্র করা হয় এবং আগুন দেওয়া হয়।</t>
  </si>
  <si>
    <t>২০১২ সালের রামু সহিংসতা বলতে বোঝায়, বাংলাদেশের কক্সবাজার জেলার রামু উপজেলায় স্থানীয় জনতা কর্তৃক ২০১২ সালের ২৯শে সেপ্টেম্বর মধ্যরাতে বৌদ্ধ বিহার, মন্দির ও ঘরবাড়িতে ধারাবাহিক হামলা।</t>
  </si>
  <si>
    <t>২০১৯ সালের ফেব্রুয়ারিতে এক গোষ্ঠী সংখ্যালঘুদের নাগরিকত্ব বাতিল করে দেয়; অসুস্থতা ও দারিদ্র্যের কারণে ৫৯ জন মারা যায়।</t>
  </si>
  <si>
    <t>প্রফেসর তাঁর বইয়ে বৌদ্ধ মুসলিম সম্পর্ক নিয়ে প্রচলিত এই মিথ্যাচারকে খণ্ডন করেছেন। বৌদ্ধদের উপর মুসলিম সেনাপতি ও শাসকগন অত্যাচার করেছেন এই ধারণাকে তিনি নাকচ করে দেন।</t>
  </si>
  <si>
    <t>কুমিল্লা শহরে অবস্থিত নানুয়ার দিঘীর পাড়— আমার একটি অতি পরিচিত এবং প্রিয় জায়গা। দেশে আসলেই নানুয়ার দিঘীর পাড়ে বিকেল বেলা আমি নিয়ম করেই হাটতাম। দিঘীর চারপাশে হিন্দু মুসলিম মিলেমিশে একাকার। যে যার ধর্ম কর্ম নিয়ে শান্তিপূর্ণ বসবাস। সৌহার্দ্যপূর্ণ পরিবেশই দেখেছি সব সময়।</t>
  </si>
  <si>
    <t>ধর্মীয় জিগির তুলে রাজনৈতিক দলের সদস্যরা সংখ্যালঘুদের বাড়িতে আগুন দেয় এবং প্রাণে বাঁচতে তারা জঙ্গলে আশ্রয় নেয়; অন্তত ৩৮ জন নিহত হন।</t>
  </si>
  <si>
    <t>সর্বজনীন দুর্গা মন্দির এবং মিত্রবাড়ি পারিবারিক মন্দিরে রাতের আঁধারে তালা ভেঙে প্রতিমা ভাঙচুর করা হয় এবং আগুন দেওয়ার ঘটনা ঘটে।</t>
  </si>
  <si>
    <t>ফরিদপুরে ধর্মীয় বিদ্বেষের কারণে সংঘর্ষে ৪৫ জন প্রাণ হারায়। পুলিশ এলাকায় অবস্থান নিয়ে পরিস্থিতি নিয়ন্ত্রণের চেষ্টা করলেও সহিংসতা থামেনি। সরকার জনগণকে শান্ত ও ধর্মীয় দায়িত্ববোধের আহ্বান জানায়। আক্রান্ত সংখ্যালঘু পরিবার অনেকেই নিরাপত্তার অভাবে আশ্রয় খুঁজে নেয়।</t>
  </si>
  <si>
    <t>হিন্দু-বৌদ্ধ-খ্রিস্টান ঐক্য পরিষদের সাধারণ সম্পাদক রানা দাশগুপ্ত বলেন, এক ইমাম সাহেবের নেতৃত্বে মাইক নিয়ে হামলা হয়।</t>
  </si>
  <si>
    <t>ইসলামের প্রথম থেকেই, মুহাম্মদ তার অনুসারীদের মধ্যে ভ্রাতৃত্ববোধ এবং বিশ্বাসের বন্ধন জাগিয়েছিলেন, যা উভয়ই তাদের মধ্যে ঘনিষ্ঠ সম্পর্কের অনুভূতি গড়ে তুলতে সাহায্য করেছিল যা মক্কার একটি নবজাতক সম্প্রদায় হিসাবে তাদের নিপীড়নের অভিজ্ঞতার দ্বারা উচ্চারিত হয়েছিল।</t>
  </si>
  <si>
    <t>রাজবাড়ীতে ধর্মীয় দাঙ্গায় ৪০ জন প্রাণ হারায়। পুলিশ পরিস্থিতি নিয়ন্ত্রণের চেষ্টা করলেও সহিংসতা বন্ধ হয়নি। সরকার সবাইকে শান্ত ও দায়িত্বশীল থাকার আহ্বান জানায়। অনেক সংখ্যালঘু পরিবার নিরাপত্তার জন্য আশ্রয় খুঁজে নেয়।</t>
  </si>
  <si>
    <t>হিন্দু আর বৌদ্ধদের এই সহস্রাব্দী ধরে চলতে থাকা শত্রুতাতে সাধারণ লোকজন বিরক্ত হয়ে পড়ে – এতে করে অবশ্য সুফী সাধক ও মুসলিম অগ্রদূতদের প্রচেষ্টায় ইসলাম এতদ অঞ্চলে স্থায়ীভাবে প্রবেশ করতে সক্ষম হয়।</t>
  </si>
  <si>
    <t>সাহাপুরে মুসলিমদের হাতে হিন্দুদের দোকান লুট, নির্যাতন ও হত্যা শুরু হয় দুর্গাপূজার সময়।</t>
  </si>
  <si>
    <t>ধর্মীয় সহিংসতার কারণে এক গ্রামের সকল নারী-পুরুষের বাড়ি জ্বালিয়ে দেওয়া হয়, ৩৪ জন নিহত হন।</t>
  </si>
  <si>
    <t>ময়মনসিংহে একদল মৌলবাদী স্থানীয় মন্দিরে হামলা চালিয়ে পুরোহিতকে মারধর করে এবং প্রতিমা ভাঙচুর করে ধর্মীয় উত্তেজনা সৃষ্টি করে।</t>
  </si>
  <si>
    <t>চৌমুহনীতে সংঘর্ষের পর মিছিলকারীরা হিন্দু সম্প্রদায়ের দোকান ও বাড়িতে হামলা চালায়, যাতে যতন কুমার সাহা নামে একজন নিহত হন। পুলিশ ঘটনায় তিনজনকে আটক করে।</t>
  </si>
  <si>
    <t>বোকো হারাম সংগঠন ধর্মীয় উগ্রবাদের নামে সহিংসতা চালিয়ে বহু মানুষ হত্যা করেছে, যা চরমপন্থার ভয়াবহ দৃষ্টান্ত।</t>
  </si>
  <si>
    <t>নাটোরে ধর্মীয় উত্তেজনার কারণে হিন্দু ও মুসলিমদের মধ্যে সংঘর্ষ হয়, এতে ৪৬ জন নিহত হন। পুলিশ পরিস্থিতি নিয়ন্ত্রণের চেষ্টা করলেও সংঘর্ষ থামেনি। সরকার সকলকে শান্ত ও দায়িত্বশীল থাকার নির্দেশ দেয়। বহু সংখ্যালঘু পরিবার নিরাপত্তার কারণে গ্রাম ত্যাগ করে।</t>
  </si>
  <si>
    <t>ইভ টিজিং ধর্ষণ খুন রাহাজানী করলে পাপ হয় না, অথচ সমযৌনতায় লিপ্ত হলেই গায়ে আগুন। ধর্মের নামে এ কেমন বিচার, পাপের সংজ্ঞাও যেন সুবিধামতো বদলায়।</t>
  </si>
  <si>
    <t>যে দেশের অবইধ প্রধানমন্ত্রী বলে ধর্ম জার জার উৎসব সবার, আবার পবিত্র কুরআন শরীফের ভুল বেখ্যা করে ( লাকুম দ্বিনুকুম ওয়ালিয়া দ্বিন ) এই রেফারেন্স দিয়ে বলে ধর্ম জার জার উৎসব সবার, সেই দেশে এর থেকে ভালো কিছু আশা করা বোকামি,দোয়া করি আল্লাহ পাক রাব্বুল আলামিন যেনো আমাদেরকে সঠিক বুজ দান করেন আমিন ছুম্মা আমিন।</t>
  </si>
  <si>
    <t>ধর্মীয় বিদ্বেষের কারণে এক সাংবাদিককে প্রকাশ্যে হত্যা করা হয়, প্রতিবাদে ১০ জন নিহত হন।</t>
  </si>
  <si>
    <t>তোমাদের ধর্ম আসার পর থেকেই বিশ্বে সন্ত্রাস জিহাদ দাঙ্গা বেড়েছে। আগে ছিল না সভ্যতা ইতিহাস কিছুই না। আমাদের দেশেও এই ধর্মের নামে আজ বিভাজন আর হিংসা ছড়ানো হচ্ছে।</t>
  </si>
  <si>
    <t>হিন্দু সম্প্রদায়ের ১৩ জন ধর্ষণ, ১০ জন সংঘবদ্ধ ধর্ষণের শিকার, ধর্ষণের পর তিন জনকে হত্যা, ১৯ জনকে ধর্ষণচেষ্টা, ৯৫ জনকে ধর্মান্তরিত করা, ২১ জনকে ধর্মান্তরের চেষ্টা, ৬৩টি ধর্মীয় অনুভূতিতে আঘাতের ঘটনাও ঘটেছে দেশে।</t>
  </si>
  <si>
    <t>নারী-পুরুষ উভয়কে গুলি করে হত্যা করা হয়েছিল এবং তাদের বাড়িতে আগুন দেওয়া হয়েছিল। কয়েকজন বেঁচে যাওয়া লোক পরদিন সকালে একটি গণকবরে মৃতদেহ ফেলে রেখে যায়। [৪] বাশগাড়ি গ্রামের প্রায় ৩৫০ জন হিন্দু নিহত হয়েছিল।</t>
  </si>
  <si>
    <t>আপনার ধর্মে কি কোনো ভালো দিক নেই যা অন্য ধর্মে আছে? আপনার ধর্ম কি অন্যায় কাজ করার অনুমতি দেয়?</t>
  </si>
  <si>
    <t>চাঁদপুরের হাজীগন্জ ভয়াবহ এই মুহূর্তে ৪জন ভাই শহিদ হয়েছেন অনেকের অবস্থা আশংকা জনক কোরআন অবমাননার কারণে চাঁদপুরের হাজীগঞ্জ পুলিশ তৌহিদী জনতা ধাওয়া-পাল্টা ধাওয়া ছলছে।</t>
  </si>
  <si>
    <t>চণ্ডীপুরের পুরুষ সদস্যদেরকে তারা হত্যা করে আর মহিলাদেরকে ধর্ষণ করে। তাদের বসতভিটা পুড়িয়ে ছাই করে ফেলে। শতশত সাঁওতাল এবং হিন্দুদেরকে এভাবে হত্যা করা হয়। রোহানপুরের তেভাগা আন্দোলনের অন্যতম সংগঠক ইলা মিত্র সহ আরও শতাধিক দরিদ্র কৃষককে গ্রেফতার করা হয়।</t>
  </si>
  <si>
    <t>২০১৬ সালের এপ্রিল মাসে ধর্মীয় ভিন্নমতের কারণে এক চিকিৎসককে কুপিয়ে হত্যা করা হয়, এতে ১৪ জন নিহত হয়।</t>
  </si>
  <si>
    <t>১২ এপ্রিল ২০২৩ চুয়াডাঙ্গা জেলার দামুড়হুদা থানার রামকৃষ্ণ আশ্রমে হামলা চালিয়ে বেদিতে রাখা রাধাকৃষ্ণের মূর্তিগুলো হাতুড়ি দিয়ে গুঁড়িয়ে দেয়া হয় প্রার্থনার ঘরে আগুন ধরিয়ে দেয় দুর্বৃত্তরা</t>
  </si>
  <si>
    <t>আয়াতটি প্রচারের দ্বারা আপনি মানুষকে প্রতিবাদি হতে নিরুৎসাহিত করছেন। মানুষের ঈমানি শক্তি জাগ্রত করতে বাধা সৃষ্টি করছেন। আপনি চাচ্ছেন এই আয়াতটি দ্বারা মানুষকে এটা বুজাতে যে, দেখো ভাই তোমাদের প্রতিবাধ করার দরকার নেই হিন্দুরা আমাদের কুরআন নিয়ে যা খুশি করুক তাতে সমস্যা নেই কারন কুরআনের সংরক্ষনকারী তো সয়ং আল্লাহ।</t>
  </si>
  <si>
    <t>সত‍্য ধর্ম পেলে তো যাবেই...আর সাধু নিজেই জানে না..তার ধর্মগ্রন্থের নাম..ধর্ম আর কি প্রচার করবে</t>
  </si>
  <si>
    <t>কিশোরগঞ্জে ধর্মীয় সহিংসতায় সংখ্যালঘু সম্প্রদায়ের ৪৩ জন নিহত হন। হামলাকারীরা তাদের সম্পত্তি লুটপাট করে এবং মন্দির ভেঙে দেয়।</t>
  </si>
  <si>
    <t>২০১৮ সালের জানুয়ারিতে এক ধর্মীয় গোষ্ঠী সংখ্যালঘুদের নাগরিকত্ব বাতিল করে; দারিদ্র্য ও অসুস্থতায় ৫৬ জন মারা যান।</t>
  </si>
  <si>
    <t>জাতীয় হিন্দু মহাসভার দাবি, ২০২০ সালে ৪০ হাজার ৭০৩টি অপরাধের ঘটনা ঘটেছে। হত্যার শিকার হয়েছে ১৪৯ জন, ধর্ষণের শিকার হয়েছে ৫৩ জন, দেশত্যাগে বাধ্য করা হয়েছে দুই হাজার ১২৫ পরিবারকে।</t>
  </si>
  <si>
    <t>ধর্মীয় মৌলবাদের উদাহরণ দিতে গিয়ে সবধর্মকেই টেনে আনা হয়েছে নিরপেক্ষতা বজায় রাখার জন্য। কিন্তু বাস্তব হলো একটি বিশেষ ধর্ম সম্প্রদায়ের ক্ষেত্রেই এটা প্রযোজ্য।</t>
  </si>
  <si>
    <t>এক ধর্মীয় প্রার্থনার সময় হামলা চালিয়ে শিশু ও বৃদ্ধদের হত্যা করা হয়, ঘটনাটি গোপন করতে মৃতদেহ নদীতে ফেলা হয়; মোট ৩৩ জন নিহত হন।</t>
  </si>
  <si>
    <t>৯ নভেম্বর ২০২৩ পটুয়াখালীর মির্জাগঞ্জে কালীমন্দিরে রাতের অন্ধকারে দুর্বৃত্তরা প্রবেশ করে প্রতিমার গায়ে কেরোসিন ঢেলে আগুন লাগিয়ে দেয়</t>
  </si>
  <si>
    <t>মাদারীপুরে ধর্মীয় দাঙ্গায় ৪৩ জন নিহত হন। পুলিশ দ্রুত এলাকা ঘিরে রাখে, সরকার শান্তি ও সহনশীলতার বার্তা প্রচার করে। আক্রান্ত পরিবার নিরাপত্তার জন্য আশ্রয় নেয়।</t>
  </si>
  <si>
    <t>২০১৫ সালের মার্চ মাসে এক মুসলিম অধ্যাপককে তার ধর্মীয় বিশ্বাসের কারণে বিশ্ববিদ্যালয় থেকে বরখাস্ত করা হয়। তার প্রতিবাদে শিক্ষার্থীদের বিক্ষোভ চলাকালীন পুলিশ গুলি চালায়, যার ফলে অন্তত ২৮ জন নিহত হন।</t>
  </si>
  <si>
    <t>গীতা, উপনিষদ এবং ভগবদ গীতা হিন্দু ধর্মের গুরুত্বপূর্ণ ধর্মগ্রন্থ, যা আধ্যাত্মিক উন্নতি এবং শান্তি সম্পর্কে শিক্ষা দেয়।</t>
  </si>
  <si>
    <t>রোজাদার ব্যক্তিগণ সংযমী হবেন এটাই স্বাভাবিক। আত্ম উপলব্ধি হবে এটাই কাম্য,ক্যামেরা নিয়ে পর্দাশীল দোকানে কেনো? মানুষকে হেনস্থা করার জন্যে? নাকি viral হওয়ার জন্যে?।</t>
  </si>
  <si>
    <t>আমার কাছে কষ্ট লাগে,এই উস্কানিমূলক কথাগুলো যারা বলল,তাদের প্রত্যেকেই বাপ দাদার পরিচয়ে মুসলিম নামের অন্তর্ভুক্ত</t>
  </si>
  <si>
    <t>গভর্নর ফ্রেডেরিক বারোজের মতে, "জনসমাবেশ অনুষ্ঠিত হওয়ার পর রামগঞ্জ থানার একটি বাজারে লুটপাটই ঝামেলা শুরু হওয়ার তাত্ক্ষণিক ঘটনা ছিল।"[৫৪] সুরেন্দ্রনাথ বসু এবং হিন্দু মহাসভার বিশিষ্ট নেতা রাজেন্দ্রলাল রায় চৌধুরীর ব্যবসার জায়গায় হামলা হয়েছিল।</t>
  </si>
  <si>
    <t>গোয়া ইনকুইজিশন জোর পূর্বক ধর্মান্তরিত গুপ্ত হিন্দুদের বিরুদ্ধে পরিচালিত হয়েছিল । এটিতে রেকর্ড করা হয়েছে যে কমপক্ষে ৫৭ গোয়ান হিন্দুদের ১৫৬০ সাল থেকে শুরু করে তিনশ বছরের মধ্যে মৃত্যুদণ্ড দেওয়া হয়েছিল।</t>
  </si>
  <si>
    <t>বৌদ্ধ সম্প্রদায়ের কিছু সদস্য ধর্মীয় দাঙ্গার উসকানি দিয়ে অন্য ধর্মের প্রতি হিংসা ও বিদ্বেষ ছড়ায়।</t>
  </si>
  <si>
    <t>আল্লাহ কোরআনে বলেছেন, মানুষ ও জিনকে শুধুমাত্র তাঁর ইবাদতের জন্য সৃষ্টি করা হয়েছে, এবং আমাদের মহান নবী (সা.)-কে সর্বাধিক ভালোবাসা উচিত।</t>
  </si>
  <si>
    <t>বৌদ্ধ ধর্মে অহিংসা ও করুণা গুরুত্বপূর্ণ শিক্ষা। গৌতম বুদ্ধ সকল জীবের প্রতি সমান দয়া প্রদর্শনের আহ্বান জানিয়েছেন।</t>
  </si>
  <si>
    <t>ধারাবাহিকভাবে সংগঠিত এ ধরনের ন্যক্কারজনক ফৌজদারি অপরাধের একটিরও বিচার আজ পর্যন্ত হয়নি। এসব ঘটনায় প্রকৃত অপরাধীদের আইনের আওতায় না এনে উল্টো সংখ্যালঘু হিন্দু সম্প্রদায়কেই এসব ঘটনার জন্য দায়ী করা হয়েছে। আমরা এর তীব্র নিন্দা এবং জড়িতদের দৃষ্টান্তমূলক শাস্তি চাই।</t>
  </si>
  <si>
    <t>কান্তজী মন্দিরের জমিতে মসজিদ নির্মাণের কাজ তদন্ত মাধ্যমে সঠিক সিদ্ধান্ত নিবে প্রশাসন আশাকরি কিন্তু তথাপি আপনার এই পোষ্টের মাধ্যমে বুঝিয়ে দিলেন যুগ যুগ ধরে চলা তেলবাজিতে আপনিও কম নন।</t>
  </si>
  <si>
    <t>জগন্নাথ হল সনাতন ধর্মাবলম্বীদের, ইফতার পার্টি সেখানে হয় না, মুসলিমরা ঢাবির অন্য জায়গায় করতে পারে।</t>
  </si>
  <si>
    <t>২০২০ সালে নরওয়েতে ইসলাম বিরোধী গোষ্ঠীগুলো প্রকাশ্যে কোরআন পোড়ানোর মতো উসকানিমূলক কর্মকাণ্ড পরিচালনা করে।</t>
  </si>
  <si>
    <t>মুসলিম সম্প্রদায়ের উগ্র গোষ্ঠী ধর্মীয় উগ্রতা ছড়িয়ে অন্য ধর্মাবলম্বীদের বিরুদ্ধে বিদ্বেষমূলক মনোভাব তৈরি করছে।</t>
  </si>
  <si>
    <t>হিন্দু সম্প্রদায়ের একজনের নামে ভুয়া ফেসবুক অ্যাকাউন্ট খুলে ধর্মীয় অনুভূতিতে আঘাত করে পোস্ট দেয়া হয় যা মুসলিমদের উত্তেজিত করে এবং কয়েকটি হিন্দু বাড়িতে হামলা হয়।</t>
  </si>
  <si>
    <t>আমার ক্লাসমেট আগে দ্বীনদার ছিল, ভার্সিটিতে গিয়ে নাস্তিক হয়ে ইসলাম থেকে মুখ ফিরিয়েছিল। এখন নামাজ পড়লেও ও আসলে ভণ্ড, ধর্মবিরোধী সেক্যুলার মুসলিম।</t>
  </si>
  <si>
    <t>খ্রিস্টান ধর্মাবলম্বীরা ধর্মান্তরের নামে দেশীয় ধর্মীয় সংস্কৃতিকে অবজ্ঞা করে এবং ধর্মীয় অশান্তি সৃষ্টি করে।</t>
  </si>
  <si>
    <t>চট্টগ্রামে গোটা বায়েজীদ বোস্তামি পাহাড়কে হিন্দুরা তীর্থস্থান ঘোষণা করতে চায়, আর সীতাকুণ্ডের স্থানীয় মুসলমানরাও বাকবাকুম করে তাদের সমর্থন জানায়।</t>
  </si>
  <si>
    <t>সোমবার, আগের দিন বাংলাদেশের অযোধ্যায় বাবরি মসজিদ ধ্বংস হয়। ঢাকার সব বাংলা ও ইংরেজি দৈনিকের শিরোনাম এ বিষয়ের ওপর কেন্দ্রীভূত ছিল।</t>
  </si>
  <si>
    <t>নোয়াখালীতে ধর্মীয় বিতর্ক থেকে সংঘর্ষে ৪৫ জন প্রাণ হারায়। পুলিশ পরিস্থিতি নিয়ন্ত্রণে রাখতে ব্যর্থ হয়, সরকার শান্ত থাকার আহ্বান জানায়। অনেক সংখ্যালঘু পরিবার নিরাপত্তার জন্য আশ্রয় খুঁজে নেয়।</t>
  </si>
  <si>
    <t>মুজিবনগরে তিন হাজার খ্রিস্টান পরিবার এক মৌলবাদী নেতার হাতে জিম্মি</t>
  </si>
  <si>
    <t>শাঁখেরীবাজার জনশূন্য হয়ে পড়েছিল। সেনা, আনসার ও রাজাকাররা সোনাদানা, বাসন ও আসবাবপত্র লুটপাট করলো। বিহারি মুসলিমরা পুরো এলাকাটি দখল করে, প্রত্যেক বাড়িতে প্রবেশ করে বসবাস শুরু করলো।</t>
  </si>
  <si>
    <t>বরগুনার এক গ্রামে হিন্দু ও মুসলিম সম্প্রদায়ের মধ্যে দীর্ঘদিন ধরে চলা উত্তেজনার ফলশ্রুতিতে সংঘর্ষ ঘটে। সংঘর্ষে ৩২ জন নিহত হন এবং ব্যাপক সম্পত্তি ক্ষতি হয়। পরিস্থিতি নিয়ন্ত্রণে নিরাপত্তা বাহিনী মোতায়েন করা হলেও পরিস্থিতি নিয়ন্ত্রণে আনা কঠিন হয়।</t>
  </si>
  <si>
    <t>১৯৯২-১৯৯৫ সালের সময় বাংলাদেশের একটি অঞ্চলে সংঘর্ষে ধর্মীয় সম্প্রদায়ের বিরুদ্ধে গণহত্যা ঘটে, যেখানে আনুমানিক ১ লাখ মানুষ নিহত হয়।</t>
  </si>
  <si>
    <t>মসজিদে মন্দির খোঁজা, মুসলিম স্থাপত্য ধ্বংস ও ঐতিহ্যবাহী নাম মুছে ফেলা ধর্মীয় ভাঙচুরের জঘন্য উদাহরণ, যা মুসলমানদের ইতিহাস মুছে ফেলতে পরিচালিত একটি উদ্দেশ্যপ্রণোদিত অপচেষ্টা।</t>
  </si>
  <si>
    <t>আমরাতো খৃষ্টান বা অন্যান্য ধর্মালম্বীদের ধর্মগ্রন্থ অবমাননা করি না তবে তোমরা কেনো ধৃষ্টতা দেখাও???</t>
  </si>
  <si>
    <t>হিন্দু সম্প্রদায়ের অনেকেই অন্য ধর্মাবলম্বীদের প্রতি হিংসাত্মক মনোভাব পোষণ করে এবং তাদের ধর্মীয় চর্চাকে অবজ্ঞা করে।</t>
  </si>
  <si>
    <t>২০২০ সালের জানুয়ারিতে এক খ্রিস্টান সম্প্রদায়ের ওপর হামলা চালিয়ে ১৫ জন নিহত হয়, বিক্ষোভ চলাকালীন পুলিশের গুলিতে আরও ১০ জন নিহত হয়।</t>
  </si>
  <si>
    <t>এই লোকটা কোন ধর্মের, সে নিজেই ভালো জানে না, সে আবার অন্য ধর্ম সম্পর্কে বলবে। এদের মতে, তাদের পাল্লা আল্লাহ সব শেষ মনে করে তাকে।</t>
  </si>
  <si>
    <t>হিন্দু সংবাদমাধ্যম মুসলিম লীগকে দাঙ্গার মূল হোতা বলেছে কারণ ইসলামপন্থীরা মুসলিমদের উগ্র বক্তৃতা দিয়ে হিন্দুদের বিরুদ্ধে রক্তপাত শুরু করেছিল।কার্যকর করার জন্য মুসলিম জনগণকে উস্কানিমূলক বক্তৃতা দেওয়া হয়েছিল</t>
  </si>
  <si>
    <t>মুহাম্মাদ নিয়মিতভাবে কিছু রাত নূর পর্বতের হেরা গুহায় গিয়ে ধ্যান করতেন। ৩৫ বছর বয়সের পর তার এই অভ্যাস আরও ব্যাপক হয়ে ওঠে। ইসলামী বিশ্বাস অনুসারে, ৪০ বছর বয়সে[১৪৭][১৪৮] কুরআনের প্রথম আয়াত মুহাম্মাদের উপর অবতীর্ণ হয়[১৫৩] এবং তিনি জানান যে এগুলো আল্লাহর নিকট হতে জিবরাঈল ফেরেশতা কর্তৃক প্রেরিত।</t>
  </si>
  <si>
    <t>সুনামগঞ্জে ঠাকুরঘরে ঢুকে পাথরের কৃষ্ণমূর্তির মাথা ও বাম হাত ভেঙে দেয় দুর্বৃত্তরা।</t>
  </si>
  <si>
    <t>ডেপুটি পুলিশ কমিশনার ট্রেসি লিনফোর্ড বলেন, 'ডন' একজন মার্কিন ধর্মীয় মৌলবাদী এবং 'বাড়ি' বলতে খ্রিস্টানদের স্বর্গ বোঝানো হয়েছে।</t>
  </si>
  <si>
    <t>মসজিদ মুসলিমদের পবিত্র ইবাদতের স্থান, এর অবমাননা মুসলিমদের জন্য অত্যন্ত আপত্তিকর, যা অন্যান্য ধর্মের পবিত্র স্থানগুলোর ক্ষেত্রেও প্রযোজ্য।</t>
  </si>
  <si>
    <t>বাংলাদেশের সরকার সামাজিক ঐক্য ও সম্প্রীতির উপর গুরুত্ব দেয়। সকল ধর্ম ও সম্প্রদায়ের মানুষ যাতে শান্তিপূর্ণভাবে উৎসব উদযাপন করতে পারে, সে বিষয়ে সচেতনতা বৃদ্ধির উদ্যোগ নেওয়া প্রয়োজন।</t>
  </si>
  <si>
    <t>১৯৯০ সালে এলটিটিই বিদ্রোহীরা শ্রীলঙ্কার উত্তর ও পূর্বাঞ্চলে মুসলিমদের হত্যা করে।</t>
  </si>
  <si>
    <t>ভোলা জেলায় ধর্মীয় বিদ্বেষের কারণে সংঘর্ষে ৪১ জন প্রাণ হারায়। পুলিশ সহিংসতা দমনে ব্যর্থ হয়, সরকার শান্ত থাকার আহ্বান জানায়। আক্রান্ত সংখ্যালঘু পরিবার নিরাপত্তার কারণে গ্রাম ত্যাগ করে।</t>
  </si>
  <si>
    <t>ব্রাহ্মণবাড়িয়ায় ধর্মীয় দাঙ্গায় ৪৪ জন নিহত হন। পুলিশ পরিস্থিতি নিয়ন্ত্রণের চেষ্টা করলেও সহিংসতা কমেনি। সরকার ধর্মীয় সহিষ্ণুতা বজায় রাখতে সবাইকে শান্ত থাকার আহ্বান জানায়। অনেক সংখ্যালঘু পরিবার নিরাপত্তার জন্য গ্রাম ছেড়ে চলে যায়।</t>
  </si>
  <si>
    <t>আপনারা হিন্দু ধর্মের গীতা পাঠ করেন, সেটি বাংলায় লিখে মানুষের কাছে পৌঁছে দিলে অনেকেই আরও সহজে বুঝতে পারবে। আমাদের ইসলাম ধর্মে কোরআন আরবির পাশাপাশি বাংলা উচ্চারণ ও অনুবাদসহ দেওয়া হয়েছে, যা বোঝার সুবিধা বাড়ায়।</t>
  </si>
  <si>
    <t>সব দোষ হিন্দুদের উপর চাপিয়ে ভুল ধারণা তৈরি করা হচ্ছে, অথচ আমরা পিছিয়ে নেই; আসলেই কেউ দেশেই দুই সম্প্রদায়ের মধ্যে বিবাদ সৃষ্টি করতে চায়।</t>
  </si>
  <si>
    <t>২০০৮ সালের বাংলাদেশের একাধিক অঞ্চলে সংঘটিত সহিংসতা বলতে ওই বছরের আগস্টে ধর্মীয় নেতার হত্যার পর প্ররোচিত সম্প্রদায়ের বিরুদ্ধে ব্যাপক সহিংসতা বোঝায়।</t>
  </si>
  <si>
    <t>লালমনিরহাটে ধর্মীয় বিতর্কের কারণে সংঘর্ষে ৪১ জন নিহত হন। পুলিশ পরিস্থিতি নিয়ন্ত্রণে রাখতে লাঠিচার্জ করে, সরকার সবাইকে শান্ত ও দায়িত্বশীল থাকার নির্দেশ দেয়। বহু সংখ্যালঘু পরিবার নিরাপত্তার জন্য গ্রাম ছেড়ে চলে যায়।</t>
  </si>
  <si>
    <t>সারাটা জীবন উম্মতের জন্য কষ্ট করে গেছেন তাকে কেউ অপমান করার চেষ্টা করলে আপনার গায়ে লাগে না কেন?আপনার অপমান হয় না কেন?ঘৃণা হয় না কেন?</t>
  </si>
  <si>
    <t>চাঁন্দমনি কালী মন্দিরে হামলাকারীরা তিন দফায় আক্রমণ চালায়। শেষবার মই, হাতুড়ি ও পেট্রোল নিয়ে দেয়াল টপকে মন্দিরে আগুন লাগায়। পুলিশের সহায়তা চাইলেও তা সময়মতো পাওয়া যায়নি।</t>
  </si>
  <si>
    <t>দুপুর ১টার দিকে মিছিল এবং বক্তব্য প্রদান শেষ হবার পরপরই মুসলিমরা হিন্দু বাড়ি-ঘর ও দোকানপাট-ব্যবসা প্রতিষ্ঠান লুট করতে শুরু করে এবং লুটপাট শেষে অগুন ধরিয়ে দেয় সেগুলো।</t>
  </si>
  <si>
    <t>আজ আমাদের মূল কাজ হচ্ছে রক্তপাত ও সহিংসতা বন্ধ করা। অন্যথায় এই সংকট আরও গভীর ও ভয়াবহ হয়ে উঠবে এবং ধ্বংসাত্মক পরিণতি ডেকে আনবে।</t>
  </si>
  <si>
    <t>ঢাবিতে যেভাবে ইসলামিক অনুষ্ঠান আয়োজন করায় নানাভাবে হয়রানি করা হচ্ছে, জাবিতে এরকম হয়রানি করার আগে একশবার ভাবা লাগবে।</t>
  </si>
  <si>
    <t>পীরগঞ্জের ঘটনায় পুলিশের পক্ষ থেকে ৪টি মামলা দায়ের করা হয়। এরমধ্যে অন্যতম মামলা হয়েছে হিন্দুদের বাড়িঘরে ভাঙচুর, অগ্নিসংযোগ ও লুটের অভিযোগে।</t>
  </si>
  <si>
    <t>হিন্দু শরণার্থীরা যখন বরেন্দ্রপুরে পালিয়ে যেতে শুরু করে তখন তাদের যাত্রাপথে সকল প্রকার নির্যাতন করতে শুরু করে সশস্ত্র বাহিনী। এমন কোন প্রকার নির্যাতন অবশিষ্ট ছিল না যা হিন্দু শরণার্থী যাত্রীদের উপর করা হয়নি।</t>
  </si>
  <si>
    <t>আল্লাহর রাস্তায় নিহতদের শহিদ বলা হয়, তাঁদের মর্যাদা সাধারণ মৃতদের চেয়ে ভিন্ন।</t>
  </si>
  <si>
    <t>সনাতন ধর্মে কোন নির্দিষ্ট ব্যক্তিই সনাতন ধর্মের সংজ্ঞায়ক নন, একমাত্র বেদবিহিত ধর্ম ই সনাতন ধর্ম।</t>
  </si>
  <si>
    <t>আমাদের পরিবার মুক্তিযুদ্ধের সময় আশেপাশের গ্রামসহ হিন্দু পরিবারদের জানমালের নিরাপত্তা দিয়েছিল</t>
  </si>
  <si>
    <t>ধর্মীয় বিদ্বেষ ছড়িয়ে এক মসজিদে আগুন ধরিয়ে দেওয়া হয়, যেখানে নামাজরত অবস্থায় শিশু ও বৃদ্ধসহ ২৫ জন মারা যান। মোট নিহত: ২৫ জন।</t>
  </si>
  <si>
    <t>মুসলিম উগ্রপন্থীরা নিজেদের ধর্মকে অন্য ধর্মের থেকে শ্রেষ্ঠ মনে করে এবং অন্যদের অবজ্ঞা করে।</t>
  </si>
  <si>
    <t>ঝিলংগার নুরবাজারা মুসলিম সম্প্রদায়ের ওপর ধর্মীয় নিপীড়ন ও গণহত্যার অভিযোগ রয়েছে, যেখানে বন্দিশিবিরে বহু মানুষ নির্যাতনের ফলে মৃত্যুবরণ করেছে।</t>
  </si>
  <si>
    <t>বগুড়ায় ধর্মীয় উত্তেজনার কারণে সংঘর্ষে ৪৪ জন প্রাণ হারায়। পুলিশ সহিংসতা দমনে চেষ্টা করলেও অবস্থা নিয়ন্ত্রণের বাইরে চলে যায়। সরকার সবাইকে শান্ত থাকার এবং ধর্মীয় সম্প্রীতি বজায় রাখার নির্দেশ দেয়। অনেক সংখ্যালঘু পরিবার নিরাপত্তার জন্য গ্রাম ছেড়ে চলে যায়।</t>
  </si>
  <si>
    <t>বৌদ্ধ সম্প্রদায়ের কিছু সদস্য অন্য ধর্মাবলম্বীদের প্রতি বিদ্বেষমূলক মনোভাব দেখায় যা অশান্তির কারণ।</t>
  </si>
  <si>
    <t>এক যুবক মন্দিরের তালা ভেঙে ভেতরে ঢুকে কালী প্রতিমার মুখভঙ্গ করার চেষ্টা করেন।</t>
  </si>
  <si>
    <t>ধর্মীয় উস্কানিতে এক গণমাধ্যম অফিসে হামলা চালিয়ে সাংবাদিকদের হত্যা করা হয়; মোট নিহত ১৪ জন।</t>
  </si>
  <si>
    <t>ধর্মীয় বিদ্বেষ থেকে হিন্দুদের ওপর চালানো হয় ধারাবাহিক হত্যা ধর্ষণ লুটপাট জোরপূর্বক ধর্মান্তর ও ঘরবাড়িতে অগ্নিসংযোগ।</t>
  </si>
  <si>
    <t>১৯৫০ সাল থেকে হিন্দু-মুসলিম সাম্প্রদায়িক সহিংসতায় ১০,০০০ জনেরও বেশি মানুষ মারা গেছে।</t>
  </si>
  <si>
    <t>কুমিল্লা ঘটনায় সবাইকে কুরআনের প্রতি সম্মান দেখিয়ে শান্তিপূর্ণ ও সংবেদনশীল আচরণ করতে হবে, যেন ধর্মীয় সম্প্রীতি বজায় থাকে।</t>
  </si>
  <si>
    <t>ফরিদপুরে মুসলিম যুবক গির্জায় কাজ করায় গ্রামে তার প্রবেশ নিষিদ্ধ করে স্থানীয় ধর্মীয় নেতা।</t>
  </si>
  <si>
    <t>ইসলামি সংস্কৃতি ইসলামের নিয়মনীতিতেই নিহিত, অন্য ধর্মের আচার বা সংস্কৃতির সঙ্গে এর মেলানো শুধু সাংঘর্ষিক নয়, বরং ইসলামি পরিচয়কেও আঘাত করে।</t>
  </si>
  <si>
    <t>ঢাকা ছাড়াও কমপক্ষে ১২ টি শহরের হিন্দুরা সাম্প্রদায়িক সন্ত্রাসের শিকার হয়ে। যশোর, নড়াইল, গাইবান্ধা, ময়মনসিংহ, সুনামগঞ্জ, সিলেটের হিন্দুদের উপর মারাত্মক নির্যাতনের সংবাদ দৈনিক ইত্তেফাক পত্রিকায় প্রকাশিত হয়।</t>
  </si>
  <si>
    <t>হিন্দুদের ধর্মীয় স্বাধীনতা অস্বীকার করে বা সীমাবদ্ধ করে। এর মধ্যে রয়েছে রাষ্ট্রীয় সমর্থিত কাজ যেমন ধর্মীয় প্রতীককে কলুষিত করা,মন্দির, প্রতিমা ধ্বংস করা ও অগ্নিসংযোগ করা।</t>
  </si>
  <si>
    <t>দাঙ্গা কবলিত গ্রামের পর গ্রাম জুড়ে হিন্দুদেরকে জোর করে ইসলামে ধর্মান্তরিত করার মত ঘৃণ্য পাশবিকতায় উন্মত্ত হয়ে ওঠে মুসলিমরা।</t>
  </si>
  <si>
    <t>ধর্মান্ধ সাম্প্রদায়িক হামলায় নূর ইসলাম, সন্ধ্যা রানী, রামকৃষ্ণসহ অন্তত ১০ জন নিহত এবং দেড় শতাধিক আহত হন।</t>
  </si>
  <si>
    <t>ধর্মীয় বিশ্বাসের নামে নিরীহদের উপর অত্যাচার ও রক্তপাত চললে তা গোটা অঞ্চলে সাম্প্রদায়িক সহিংসতা ও যুদ্ধ ছড়িয়ে পড়তে পারে।</t>
  </si>
  <si>
    <t>একজন সত্যিকার মুসলিম হয়ে দেখিয়ে দিলেন একজন মুসলিমের জন্য দুনিয়ার চেয়ে দীন বড়, মাশা আল্লাহ তাঁর ইমান সত্যিই অনেক দৃঢ় হয়ে উঠেছে।</t>
  </si>
  <si>
    <t>২০১৮ সালের সেপ্টেম্বর মাসে এক ধর্মীয় গোষ্ঠী সংখ্যালঘুদের ওপর কর চাপিয়ে দিতে না পারার অপরাধে তাদের বাড়িঘর আগুনে পুড়িয়ে দেয়া হয়, এতে ২৯ জন নিহত হয়।</t>
  </si>
  <si>
    <t>৫ জানুয়ারীর রাতে সাতক্ষীরা জেলায় ৪৬ টা ঘর এবং হিন্দু ধর্মের সম্পত্তি বিনষ্ট করা হয়েছিল এবং ৬টা ঘরে অগ্নিসংযোগ করা হয়। দুর্বৃত্তরা হিন্দুদের আওয়ামী লীগকে ভোট দেওয়ার জন্য দায়ী করে।[</t>
  </si>
  <si>
    <t>হিন্দু বিদ্বেষী স্লোগান ও বাড়ি পুড়িয়ে দেওয়া হয়; অনেক হিন্দু জঙ্গলে পালিয়ে যায়, যারা ধর্মান্তরিত হতে অস্বীকার করে তাদের নির্মম হত্যা করা হয়।</t>
  </si>
  <si>
    <t>৮ ফেব্রুয়ারি ২০২৩ শরীয়তপুরের জাজিরায় একটি প্রাচীন মনসা মন্দিরে আগুন লাগিয়ে দেয়া হয়, ফলে প্রতিমা সম্পূর্ণ ভস্মীভূত হয়</t>
  </si>
  <si>
    <t>২০১৯ সালের ফেব্রুয়ারিতে এক গোষ্ঠী ধর্মীয় বই বিতরণকারীদের ওপর হামলা চালিয়ে ১৮ জন নিহত করে।</t>
  </si>
  <si>
    <t>ময়মনসিংহে হিন্দু ও মুসলিমদের মধ্যে একটি ধর্মীয় উৎসবের সময় হঠাৎ সংঘর্ষ শুরু হয়। সংঘর্ষে অন্তত ২৯ জন নিহত হন এবং অনেকেই আহত হন। সংঘর্ষের সময় অগ্নিসংযোগ ও ভাঙচুরের ঘটনাও ঘটে, যার ফলে এলাকার শান্তি ও সামাজিক কাঠামো বিপর্যস্ত হয়।</t>
  </si>
  <si>
    <t>কুমিল্লাতে বহু হিন্দু পরিবারের বসবাস। এমন জামেলা আমরা দেখিনি। কিন্তু এই সময়ে এসে কে বা কারা এই উগ্রতা সৃষ্টি করলো তার সঠিক তদন্ত হওয়া দরকার</t>
  </si>
  <si>
    <t>গণহত্যার পর, নড়িয়া একটি জনমানবহীন গ্রামে পরিণত হয় এবং মৃতদেহগুলো সৎকারের অভাবে পরে থাকে। কামিনী কুমার দেব এবং তার সহধর্মিণীর কঙ্কাল তাদের পুঁড়া-বাড়ি থেকে দুদিন পর উদ্ধার করা হয়। যেহেতু মৃতদেহের দুর্গন্ধ অসহনীয় হয়ে পড়েছিল, তাই রাজাকাররা মৃতদেহগুলোকে কবর দিতে তাদের আত্মীয়স্বজনদের বলে অন্যথায় তাদের হত্যার হুমকি দেয়।</t>
  </si>
  <si>
    <t>সুনামগঞ্জের একটি গির্জার বাইরে ধর্মীয় বিদ্বেষপূর্ণ পোস্টার টাঙিয়ে উত্তেজনা ছড়ানো হয়, যা স্থানীয় সম্প্রদায়ের মধ্যে বিভেদ সৃষ্টি করে।</t>
  </si>
  <si>
    <t>পবিত্র কোরআন পোড়ানো এটা কি ধরণের বাক স্বাধীনতার অনুমতি। এটা প্রতিহিংসা ছাড়া আর কিছুই না। এর তীব্র নিন্দা এবং প্রতিবাদ জানাই।</t>
  </si>
  <si>
    <t>উঁচু বর্ণের ব্রাহ্মণরা ধর্ম বিতর্কে গুরুত্বপূর্ণ ভুমিকা রাখতেন। তারা বুদ্ধের দার্শনিক ভাবশিক্ষার বিরুদ্ধে ততটা সোচ্চার ছিলেন না। তবে ব্রাহ্মণ্যবাদের ভিত্তিপ্রস্তর অর্থাৎ, প্রাচীন কাল থেকে রক্ষা করে আসা বেদে দেয়া ব্রাহ্মণদের দৈবত্ব, প্রভুত্ব ও কর্তৃত্বকে যখন বৌদ্ধবাদে প্রশ্নবিদ্ধ করা হলো তখন তারা তার সর্বাঙ্গীন বিরোধিতা করলেন।</t>
  </si>
  <si>
    <t>মুক্তিযুদ্ধ ও সংবিধানসহ প্রয়োজনীয় জ্ঞান ছাড়া বড় হলে সাম্প্রদায়িকতা ও ধর্মান্ধতায় পতিত হওয়া স্বাভাবিক; বিশেষ শিক্ষা জরুরি।</t>
  </si>
  <si>
    <t>মুসলিম আগমনের আগে বৌদ্ধরা হিন্দুদের সামাজিক ও রাজনৈতিক প্রভাবের অধীনে ছিলেন, বাংলাতেও হিন্দু শাসক ও ব্রাহ্মণরা প্রভাব বিস্তার করেছিলেন।</t>
  </si>
  <si>
    <t>২০১৬ সালের আগস্টে এক গোষ্ঠী সংখ্যালঘুদের বাড়িতে হামলা চালিয়ে তাদের সম্পত্তি লুট করে এবং ২৭ জনকে নির্মমভাবে হত্যা করে। পরবর্তীতে আহতরা নিরাপত্তা না পেয়ে গ্রাম ত্যাগ করে।</t>
  </si>
  <si>
    <t>চাঁপাই নবাবগঞ্জে ধর্মীয় বিরোধ থেকে সংঘর্ষে ৪০ জন নিহত হন। পুলিশ সহিংসতা রোধে তৎপর থাকলেও জনতা শান্ত হয়নি। সরকার ধর্মীয় সম্প্রীতি বজায় রাখতে সবাইকে শান্ত থাকার আহ্বান জানায়। বহু পরিবার নিরাপত্তার কারণে গ্রাম ত্যাগ করে।</t>
  </si>
  <si>
    <t>আজকে আমাদের দেশে এই বাস্তবতা তৈরি হয়েছে যে, ইসলাম ধর্মের বিরুদ্ধে কেউ কিছু বলেছে এ কথাটি যদি প্রচার করা যায়, তাহলে কিন্তু যে কোন বিপর্যয় করা সম্ভব।</t>
  </si>
  <si>
    <t>ভণ্ড হুজুরগুলো কোরানকে ব্যবসার পণ্য বানিয়েছে এদের কারণেই ইসলাম ধ্বংসের পথে, আর মানুষ অন্ধ হয়ে জীবন দিতে প্রস্তুত।</t>
  </si>
  <si>
    <t>যারা ইসলাম ধর্ম নিয়ে বিদ্রূপ করেন, অনুগ্রহ করে নিজে থেকে আনফ্রেন্ড করুন। ধর্ম নিয়ে বিদ্বেষমূলক বক্তব্য মেনে নেওয়া যায় না।</t>
  </si>
  <si>
    <t>নারায়ণগঞ্জে হিন্দু-মুসলিম সংঘর্ষে অন্তত ৩৬ জন প্রাণ হারায় এবং নিরাপত্তা বাহিনী গুলিবর্ষণ করে অনেক আহত হয়।</t>
  </si>
  <si>
    <t>শ্রোতাদের অনেকেই সমাবেশ শেষ হওয়ার পর ফেরার সময় হিন্দুদের উপর আক্রমণ ও হিন্দুদের দোকান লুট করা শুরু করেছিল বলে জানা যায়।[৩][২৯] পরবর্তীকালে, কলকাতায় হ্যারিসন রোডে ইট-পাটকেল সহ সশস্ত্র কট্টরপন্থী মুসলিম গুন্ডাদের বহনকারী লরি (ট্রাক) আসার খবর পাওয়া গিয়েছিল এবং হিন্দু মালিকানাধীন দোকানে আক্রমণ করেছিল।</t>
  </si>
  <si>
    <t>সেই বীভৎস গণহত্যা দিবস উপলক্ষে লাখো মুসলিমদের বিরুদ্ধে চলা হত্যাযজ্ঞ ধর্ষণ ও দমননীতি রুখতে ইসলামিক প্রগতিশীল জনতা ফ্রন্ট এক প্রতিবাদ ও আলোচনা সভার আয়োজন করে।</t>
  </si>
  <si>
    <t>বাগেরহাটে ধর্মীয় বিরোধ থেকে সংঘর্ষে ৪২ জন প্রাণ হারায়। পুলিশ সহিংসতা দমনে ব্যর্থ হয়, সরকার শান্ত থাকার আহ্বান জানায়। অনেক পরিবার নিরাপত্তার জন্য আশ্রয় খুঁজে নেয়।</t>
  </si>
  <si>
    <t>২০১৬ সালের জুলাই মাসে ধর্মীয় চাপে পাড়ায় একমাত্র হিন্দু পরিবারের শিশুকে স্কুল থেকে বহিষ্কার করা হয়, পরে সে আত্মহত্যা করে এবং প্রতিবাদে আরও ১০ জন নিহত হয়।</t>
  </si>
  <si>
    <t>রাসুল অবমাননা সবদিক থেকে ধিক্কার ও ঘৃণা যোগ্য। এটি এমন একটি অপরাধ যার শাস্তি আল্লাহপাক স্বয়ং নিজের হাতে নিয়েছেন।</t>
  </si>
  <si>
    <t>মুহাম্মদ (সা.) তোমাদেরকে কুরআন শুনিয়ে নামাজ, রোজা পালনের পাশাপাশি ধর্মের জন্য আত্মত্যাগের গুরুত্ব বোঝান।</t>
  </si>
  <si>
    <t>হিন্দুদের উপর মুসলিমদের বর্বর নির্যাতন সেখানকার প্রকৃত শিক্ষিত মুসলিমদের মনে সীমাহীন লজ্জা ও গ্লানির সূত্রপাত করেছিল।[৪৭] এসময়ে সেখানকার কয়েকজন রাজনৈতিক ব্যক্তিত্ব যেমন আতাউর রহমান খান, শেখ মুজিবুর রহমান, মামুদ আলী, জিল্লুর হোসেন, তোফাজ্জল হোসেন কয়েকটি আশ্রয়কেন্দ্র পরিদর্শন করেন।</t>
  </si>
  <si>
    <t>হিন্দু, মুসলিম, বৌদ্ধ, খ্রিষ্টান যে সম্প্রদায়ের জাতি হোক না কেন। যারা ধর্মকে এত আবেগ দিয়ে দেখবে, সেই জাতি বা দেশ কখনই উন্নত হতে পারবে না।</t>
  </si>
  <si>
    <t>কুমিল্লায় ‘কুরআন অবমাননার' অভিযোগ তুলে ২০২১ সালের ১৫ই অক্টোবর শুক্রবার ঢাকার বায়তুল মোকাররম থেকে জুমার নামাজের পর ‘মালিবাগ মুসলিম সমাজ' ব্যানার নিয়ে কয়েকশ মানুষ বিক্ষোভ মিছিল শুরু করে৷</t>
  </si>
  <si>
    <t>চট্টগ্রামের একটি মসজিদের মিনারে বিদ্বেষমূলক হিংস্র স্লোগান লিখে রাখা হয়, যা ধর্মীয় সহিষ্ণুতায় গুরুতর প্রভাব ফেলে।</t>
  </si>
  <si>
    <t>২০৩টে হিন্দুগ্রাম সম্পূর্ণ নিশ্চিহ্ন করে ফেলে মুসলিমরা এবং ৮০০টা হিন্দু মন্দির ধ্বংস করে ফেলে তারা। ধামাই, বারাধামি, পুবঘাট, বরইতলি গ্রামের ৫০০ টি মনিপুরী পরিবার ক্ষতিগ্রস্থ হয় মুসলিম আক্রমণের ফলে।</t>
  </si>
  <si>
    <t>এক ধর্মীয় গোষ্ঠী হাসপাতালে হামলা চালিয়ে রোগীদের ওপর গুলি চালায়, ২৮ জন নিহত হয়।</t>
  </si>
  <si>
    <t>ধর্মীয় আক্রমণে ৭ জন মুসলিম নিহত হন, তাদের মর্মান্তিক হত্যাকাণ্ড এবং ধর্মীয় স্থানকে লক্ষ্য করে করা এই বর্বরতা ধর্মীয় উগ্রতার অংশ হিসেবে দেখা যায়।</t>
  </si>
  <si>
    <t>অতীতেও যখন ধর্মীয় অনুভূতিতে আঘাত দেওয়া হয়েছে, তখন প্রতিবাদ হয়েছে। কোনো ধর্মের অনুভূতিতেই আঘাত দেওয়া উচিত নয়, কারণ সব ধর্মের প্রতি শ্রদ্ধা রাখা আমাদের সবার দায়িত্ব।</t>
  </si>
  <si>
    <t>আল-কোরআন পবিত্র ও নির্ভুল, মানবজাতির পথপ্রদর্শক। একে দমন করা সম্ভব নয়। আল্লাহ ধৈর্য ধরেন, তবে অবিচারকারীদের ছেড়ে দেন না। আল্লাহ মহান।</t>
  </si>
  <si>
    <t>ঢাকার আশপাশে হিন্দু সম্প্রদায়ের শত শত গ্রাম পুড়িয়ে দেয়া হয়েছে ধর্মীয় বিদ্বেষে, ৯৫ শতাংশ বাড়িঘর ধ্বংস করেছে উগ্র গোষ্ঠী, যা স্পষ্টভাবে ধর্মভিত্তিক সহিংসতার প্রতিচ্ছবি।</t>
  </si>
  <si>
    <t>ধর্মের নামে আত্মঘাতী হামলাকে জিহাদ বলে মহিমান্বিত করা হয় অথচ আত্মহত্যা ধর্ম অনুযায়ী মহাপাপ যেখানে নিরীহ মানুষ মারা যায় সেটিই সবচেয়ে বড় ধর্মীয় অমানবিকতা এবং সহিংসতা।</t>
  </si>
  <si>
    <t>কোরআনে বর্ণিত আছে যে, আল্লাহ বলেন আমি কোরআন নাযিল করেছি, এবং কোরআন আমি নিজেই সংরক্ষণ করবো। হে আপনি আমাদের ধর্মগ্রন্থ কোরআনকে হেফাজত করুন আমিন।</t>
  </si>
  <si>
    <t>গোলাহাট গণহত্যায় নিহতদের সংখ্যা নিয়ে কিছু বিভ্রান্তি রয়েছে। বাংলাদেশ সংবাদ সংস্থা এবং প্রথম আলো অনুসারে, এই গণহত্যায় ৪৩৭ জন হিন্দু নিহত হয়।</t>
  </si>
  <si>
    <t>মন্দিরের জমি দখল ২৯টি, ৫০১টি সংঘবদ্ধ হামলা, ৫৬টি মন্দিরে হামলা, ভাংচুর ও অগ্নিসংযোগ, ২১৯টি প্রতিমা ভাঙচুর, ৫০টি প্রতিমা চুরি, ৬৩টি ধর্মীয় অনুভূতিতে আঘাতের ঘটনাও ঘটেছে দেশে। ৫৭টি ধর্মীয়প্রতিষ্ঠান অপবিত্রকরণ, ৬০টি ধর্মীয় অনুষ্ঠান পালনে বাধা, ১০০ জনকে ধর্মীয় নিষিদ্ধ খাবার খাওয়ানোর ঘটনা ঘটেছে।</t>
  </si>
  <si>
    <t>ধর্মের প্রতি আনুগত্যে মানুষের মধ্যে সদ্ভাবনা ও সমঝোতা জন্মায়, কারণ সব ধর্মই মানবতার মঙ্গল চায় এবং ভিন্ন ধর্মের মানুষ ভালোবাসা ও সহানুভূতিতে বসবাস করে।</t>
  </si>
  <si>
    <t>২০১৯ সালে একদল দুর্বৃত্ত গির্জার ভেতরে ঢুকে হামলা চালায়, এতে বহু খ্রিস্টান উপাসক আহত হন।</t>
  </si>
  <si>
    <t>এখলাসপুর ও নোয়াখালিতে মন্দিরে হামলা করে মূর্তি ভাঙচুর ও ২০০ জনেরও বেশি ইস্কনের সদস্যকে নির্মমভাবে হত্যা করা হয়েছে, মন্দির ও সমাধি ধ্বংস করা হয়েছে।</t>
  </si>
  <si>
    <t>শুধুমাত্র একটি ইসলামী ধর্মীয় প্রতিষ্ঠান নয় বরং একটি ইসলামী আইন , রাষ্ট্র এবং সমাজ পরিচালনাকারী অন্যান্য প্রতিষ্ঠানও রয়েছে । 20 শতকের আগ পর্যন্ত ধর্মীয় (ব্যক্তিগত) এবং ধর্মনিরপেক্ষ (সর্বজনীন) কিছু মুসলিম চিন্তাবিদদের দ্বারা আলাদা করা হয়নি এবং তুরস্কের মতো নির্দিষ্ট স্থানে আনুষ্ঠানিকভাবে আলাদা হয়ে গেছে ।</t>
  </si>
  <si>
    <t>যে ব্যক্তি তার ধর্মে দৃঢ় থাকে এবং আখেরাতে সৎ কাজ করে, তার নেক আমল উজ্জ্বল হবে, এবং সে দুনিয়া ও আখেরাতে শান্তির অধিকারী হবে।</t>
  </si>
  <si>
    <t>যে হামলা হচ্ছে, সেগুলো সংখ্যাগরিষ্ঠ মুসলিম সম্প্রদায়ের ওপরও হচ্ছে। একটি গোষ্ঠী তাদের উদ্দেশ্য বা মতের জন্য করছে।</t>
  </si>
  <si>
    <t>পটুয়াখালীর একটি স্কুলের ইসলাম ধর্মের শিক্ষকের বিরুদ্ধে বৌদ্ধ ধর্মের প্রতি অবমাননাকর মন্তব্যের অভিযোগে রাখাইন পল্লীর শিশুরা দুই সপ্তাহ ধরে স্কুলে যায়নি।</t>
  </si>
  <si>
    <t>আমি মনে করি উপাসনার স্থান যেমন মন্দির, মসজিদ, চার্চ, এগুলো শান্তির প্রতীক হিসেবে দেখা উচিত।</t>
  </si>
  <si>
    <t>২০১৭ সালের ডিসেম্বর মাসে ধর্মীয় চাপে পাড়ায় একমাত্র হিন্দু পরিবারের শিশুকে স্কুল থেকে বহিষ্কার করা হয়; পরে সে আত্মহত্যা করে; প্রতিবাদে আরও ১০ জন নিহত হন।</t>
  </si>
  <si>
    <t>অনেককেই দেখি ধর্ম নিয়ে খুব পোস্ট করে কিন্তু ওনারা অনেক সুদ ঘুষ বড় বড় হারাম কারবারের সাথে জড়িত।</t>
  </si>
  <si>
    <t>তেঘারি নামক একটি গ্রামের সকল হিন্দু প্রাণ বাঁচাতে অন্য জায়গায় পাড়ি জমায়। কিন্তু যাত্রাপথেও তারা নিস্তার পায়নি। তাদের সঙ্গে থাকা সকল দ্রব্যসামগ্রী আনসার বাহিনী এবং মুসলিমরা লুট করে নেয়।[</t>
  </si>
  <si>
    <t>সতী প্রথা অতিরিক্ত অর্থ অর্জন করেছিল যে নারীদের সম্মান রক্ষার উপায় হিসাবে পুরুষদের হত্যা করা হয়েছিল,[১৫] জওহরের অনুশীলনের অনুরূপ,[৫২][৫৩] জওহর ও সতীর মতাদর্শ একে অপরকে শক্তিশালী করে।</t>
  </si>
  <si>
    <t>আমরা মুসলমানরা ওজু করে পবিত্রভাবে মসজিদে প্রবেশ করি। ওজুর সুন্নতি নিয়ম মেনে চলার কারণে, আমি মনে করি না মসজিদে নামাজ আদায় করা করোনার জন্য আশঙ্কাজনক।</t>
  </si>
  <si>
    <t>ইসলাম থাকবে, বিজয় নিশ্চিত; কুরআনই চির সত্য।</t>
  </si>
  <si>
    <t>আমরা আধুনিক হয়ে যাচ্ছি মানে এই না যে ধর্মকে ভুলে যাব। দেশের এই ভয়াবহ করোনা মোকাবেলার সময় ও কি মৃত্যুর ভয় নেই। মুসলিম হয়েও অনেকে নাস্তিকের মতো জবাব দিচ্ছে।</t>
  </si>
  <si>
    <t>মন্দির ও আশ্রমের গোয়ালঘরে প্রায় ৫০টি গরু ছিল। সেগুলো পুড়িয়ে মারা হয়। প্রচণ্ড আগুন, বন্দুকের গুলি, পোড়া মাংসের গন্ধ আর প্রাণহানির আর্তনাদে রমনা এলাকা নরকে পরিণত হয়।</t>
  </si>
  <si>
    <t>২০২১ সালের ১৭ মার্চ সুনামগঞ্জের শাল্লা উপজেলার নোয়াগাঁওয়ে ৯১টি হিন্দু বাড়িতে হামলা ও লুটপাট করা হয়৷ হেফাজত নেতা মামুনুল হকের বিরুদ্ধে ঝুমন দাস নামের এক যুবকের কথিত ফেসবুক পোস্টে ধর্ম অবমাননার অজুহাত তোলা হয়৷ আর ওই পোস্ট যে ঝুমন দাস দিয়েছেন তার প্রমাণ এখনো মেলেনি৷</t>
  </si>
  <si>
    <t>মুসলিম অভিবাসীদের মসজিদ নির্মাণের পরিকল্পনার বিরুদ্ধে বিক্ষোভের সময় সংঘর্ষ হলে কয়েকজন মুসলমান আহত হন।</t>
  </si>
  <si>
    <t>একজন পাদ্রি মদ ও রুটি উৎসর্গ করেন, যা যীশুর রক্ত ও দেহের প্রতীক।</t>
  </si>
  <si>
    <t>যারা ইসলামী অনুশাসনে বিশ্বাসী এবং সে আলোকে নিজেদের জীবন পরিচালনা করেন, তারা কখনো আত্মহত্যা করে নিজেদের পরকালীন জীবনকে জাহান্নামে নিশ্চিত করতে চাইবে না এটাই স্বাভাবিক।</t>
  </si>
  <si>
    <t>প্রত্যেকের ইবাদত বা পূজা তার ব্যক্তিগত বিশ্বাস ও স্বাধীনতা; সবাই একে অপরের বিশ্বাসকে সম্মান করে সৌহার্দ্য বজায় রাখুন।</t>
  </si>
  <si>
    <t>রাতে ধর্মীয় নেতা লক্ষ্মণানন্দ সরস্বতীকে নির্মমভাবে হত্যা করার পর ব্যাপক সহিংসতা ছড়িয়ে পড়ে। হিন্দুদের মন্দির জ্বালিয়ে দেওয়া হয় ও খুনের ঘটনায় এলাকা আতঙ্কিত হয়ে ওঠে।</t>
  </si>
  <si>
    <t>যে দেশে ইসলাম রক্ষা করতে বীর নেই, সেখানে কাপুরুষের মৃত্যু প্রাপ্যই ছিল।</t>
  </si>
  <si>
    <t>ধর্মীয় অসহিষ্ণুতার বিরুদ্ধে কথা বলার জন্য বহু লেখক ও সাংবাদিক হুমকি ও আক্রমণের শিকার হন, যার মধ্যে এম. এম. কালবুর্গি ও গৌরি লঙ্কেশ হত্যাকাণ্ড উল্লেখযোগ্য।</t>
  </si>
  <si>
    <t>আমরা প্রকাশ্যে নামাজ পড়তে না যাওয়ার কথা বলছি না, তবে করোনা সচেতনতাও চাই। তাই কৌশলগত ব্যবস্থা নিচ্ছি।</t>
  </si>
  <si>
    <t>ত্রিনিদাদের পরিবেশে হিন্দু ধর্মের কিছু দিক পরিবর্তিত হয়ে “ত্রিনিদাদ হিন্দুধর্ম” গঠন হয়। তবে বেশিরভাগ খ্রিস্টানরা হিন্দু সংস্কৃতির কিছু দিক নিয়ে বিরোধ দেখায়।</t>
  </si>
  <si>
    <t>দাঙ্গা বলতে ১৯৫০ সালের বাংলাদেশের হিন্দু সম্প্রদায়ের উপর সংখ্যাগরিষ্ঠ মুসলিম সম্প্রদায়ের চালিত হত্যাকাণ্ডকে বোঝায়।</t>
  </si>
  <si>
    <t>আল্লাহর নির্দেশনা মেনে চললে আমাদের জীবন মানসম্মত হয় এবং আমরা সঠিক পথে থাকি, যা আমাদের আত্মবিশ্বাস এবং সুখ বৃদ্ধি করে।</t>
  </si>
  <si>
    <t>ধর্মীয় শিক্ষা ও মানবিক মূল্যবোধের সংমিশ্রণেই আত্মহত্যা থেকে মুক্তি সম্ভব</t>
  </si>
  <si>
    <t>ঝালকাঠিতে ধর্মীয় উত্তেজনার কারণে সংঘর্ষে ৪৫ জন প্রাণ হারায়। পুলিশ দ্রুত এলাকা ঘিরে রাখে, সরকার শান্ত ও সহিষ্ণুতার বার্তা দেয়। আক্রান্ত সংখ্যালঘু পরিবার নিরাপত্তার জন্য গ্রাম ছেড়ে চলে যায়।</t>
  </si>
  <si>
    <t>সব ধর্মগ্রন্থকে সম্মান করলেও কিছু ইসলামবিদ্বেষী কুরআন পুড়িয়ে মুসলিমদের অপমান করেছে এই কুকর্মকারীদের ধ্বংস হোক!</t>
  </si>
  <si>
    <t>এক গোষ্ঠী সংখ্যালঘুদের বিবাহ অনুষ্ঠানে হামলা চালিয়ে ২০ জন নিহত করে।</t>
  </si>
  <si>
    <t>ধর্মীয় দাঙ্গার সময় হেফাজতের হত্যাকাণ্ডে বারাকাহ, ইসলামী ও সিদ্ধিরগঞ্জ হাসপাতালে অনেক লাশ পাওয়া গেলেও সরকার তা স্বীকার করেনি।</t>
  </si>
  <si>
    <t>হিন্দু সম্প্রদায়ের কিছু অংশ ধর্মীয় উগ্রতা ছড়িয়ে সমাজে সাম্প্রদায়িক উত্তেজনা সৃষ্টি করছে।</t>
  </si>
  <si>
    <t>মুসলিম হিসেবে আমাদের কর্তব্য অমুসলিমদের সুরক্ষা ও মৌলিক অধিকার রক্ষা করা, এবং তাদেরকে ভীত সন্ত্রস্ত না করা।</t>
  </si>
  <si>
    <t>ভাইজান সুন্দর ব্যবহার করবেন ধৈর্য সহকারে বোঝা হতে পারে আল্লাহ তায়ালা এদেরকে কোনদিন হেদায়েত দান করবেন</t>
  </si>
  <si>
    <t>ঢাকা জেলার এক এলাকায় ধর্মীয় গোষ্ঠীর মধ্যে সংঘর্ষে ৪২ জন নিহত হয়; বহু মানুষ গৃহহীন হয়।</t>
  </si>
  <si>
    <t>বুধবার সকালে কয়েক হাজার উগ্র মুসলিম দা লাঠি নিয়ে হিন্দুদের বাড়িতে হামলা চালায়, ৮৭টি বাড়িঘর ভেঙে ফেলে এবং টাকা স্বর্ণালংকার লুট করে ধর্মের নামে বিভীষিকা সৃষ্টি করে।</t>
  </si>
  <si>
    <t>১৯৮৬ সালে পাচারিতে ও ১৯৮৯ সালে লঙ্গুদুতে ভিন্ন ধর্মবলম্বী হওয়ার কারণে নৃশংস হামলায় ৪০ জন আদিবাসী নিহত হয় এবং প্রাণ বাঁচাতে ১৩০০০ মানুষ দেশ ছাড়তে বাধ্য হয়।</t>
  </si>
  <si>
    <t>মহারাষ্ট্রের মালেগাঁও শহরে একটি মসজিদের বাইরে বিস্ফোরণে ছয়জন নিহত হন, যা হিন্দুত্ববাদী সংগঠনের সদস্যদের দ্বারা পরিচালিত বলে তদন্তে উঠে আসে।</t>
  </si>
  <si>
    <t>আহমদিয়া মুসলিম সম্প্রদায়ের মসজিদে বোমা হামলা চালানো হয়, যাতে একজন নিহত হন এবং অনেকে আহত হন।</t>
  </si>
  <si>
    <t>২০১৭ সালের আগস্ট মাসে এক গোষ্ঠী ধর্মীয় গোষ্ঠীর বিরোধে এক শিশু সহ ২৫ জন নিহত হন।</t>
  </si>
  <si>
    <t>বৌদ্ধ সম্প্রদায়ের কিছু সদস্য অন্য ধর্মাবলম্বীদের বিরুদ্ধে অবজ্ঞাসূচক মন্তব্য করে সমাজে অশান্তি বাড়াচ্ছে।</t>
  </si>
  <si>
    <t>২০১৭ সালের এপ্রিল মাসে এক গোষ্ঠী ধর্মীয় বই বিতরণের জন্য এক যুবককে পিটিয়ে হত্যা করা হয়; সহিংসতায় ১৮ জন প্রাণ হারান।</t>
  </si>
  <si>
    <t>দক্ষিণ থেকে আগত সেন শাসকেরা ক্ষমতা দখলের পর বৌদ্ধদের উপর ধর্মীয় নির্যাতন শুরু করে, যা ছিল স্পষ্টভাবে সাম্প্রদায়িক চেতনার বহিঃপ্রকাশ।</t>
  </si>
  <si>
    <t>পুলিশ ও আদালত সূত্র জানিয়েছে, গত ২০ সেপ্টেম্বর রাঙ্গামাটি শহরে সাম্প্রদায়িক সহিংসতা ও অনিক চাকমা হত্যা মামলায় খাগড়াছড়ির মানিকছড়ি উপজেলা থেকে বৃহস্পতিবার দিবাগত রাতে এক আসামিকে গ্রেফতার করে কোতোয়ালি থানা পুলিশ।</t>
  </si>
  <si>
    <t>খ্রিষ্টিয় চতুর্দশ শতাব্দীর প্রথম দিকের ভ্রমণকারী বর্তমানে দক্ষিণ বা মধ্য ভিয়েতনামে জম্পা বা চম্পাতে নারীকে পুড়িয়ে মারার প্রসঙ্গ উল্লেখ করেছেন।[</t>
  </si>
  <si>
    <t>ষড়যন্ত্রের অংশ হিসেবে বিভিন্ন হামলা হয়, কিন্তু পূজামণ্ডপে সংঘটিত সাম্প্রদায়িক হিংসা, অনাচার, হত্যা ও ধর্ষণ ভয়াবহ পরিস্থিতি সৃষ্টি করেছে।</t>
  </si>
  <si>
    <t>২০১৩ সালের এক রায়ের পর ধর্মীয় উগ্রতায় হিন্দুদের মন্দির ভাঙচুর অগ্নিসংযোগে পুড়ে ছাই হয়, লুটপাট চলে, ঘরবাড়ি ধ্বংস হয়।</t>
  </si>
  <si>
    <t>২০২১ সালের ১৩ অক্টোবর, কুমিল্লায় দুর্গাপূজার মণ্ডপে কোরআন অবমাননার গুজব ছড়িয়ে পড়লে হিন্দুদের উপর হামলা হয়, বহু মন্দির ও মণ্ডপ ভাঙচুর করা হয়, অন্তত ১৭ জন নিহত হন।</t>
  </si>
  <si>
    <t>১৯৪৯ সালে প্রতিষ্ঠিত ৭৫ বছরের পুরাতন মসজিদের জমিতে মসজিদ পুনর্নির্মাণ হচ্ছে, যা কান্তনগর মন্দিরের আধা কিলো পূর্বে অবস্থিত এবং ওই এলাকায় কোনো হিন্দু নাগরিক নেই।</t>
  </si>
  <si>
    <t>নওগাঁর একটি রাধাকৃষ্ণ মন্দিরে কাঠের কাঠামোতে আগুন ধরিয়ে দেয়া হয়, মন্দিরের অভ্যন্তরীণ সাজসজ্জা ভস্মীভূত হয়।</t>
  </si>
  <si>
    <t>আদিবাসী সম্প্রদায় যারা অ্যানিমিজম চর্চা করে,তাদের কিছু বৌদ্ধ ধর্মের অধীনে এসেছে। বৌদ্ধ পূর্ণিমা বাঙালি বৌদ্ধ ও বৌদ্ধ উভয় উপজাতির মধ্যে সর্বাধিক পালিত হয়।</t>
  </si>
  <si>
    <t>২০১৮ সালের মার্চে এক গোষ্ঠী ধর্মীয় গোষ্ঠীর বিরোধের কারণে বিদ্যালয়ে সংঘর্ষ ঘটে, এতে ২২ জন নিহত হয়।</t>
  </si>
  <si>
    <t>শরীয়তের নির্দেশে আত্মহত্যাকারীর জানাজা অনাড়ম্বরভাবে পড়ার বিধান থাকলেও, রাসুলুল্লাহ (স.) নিজে কখনো আত্মহত্যাকারীর জানাজা পড়াননি; এটি সাহাবিরা পড়িয়েছেন।</t>
  </si>
  <si>
    <t>২০১৬ সালের নাসিরনগরের সাম্প্রদায়িক সহিংসতায় ৩০ অক্টোবর নাসিরনগর উপজেলায় ইসলামিক উগ্রপন্থীদের দ্বারা সংখ্যালঘু হিন্দু সম্প্রদায়ের উপর হামলা হয়েছিল।</t>
  </si>
  <si>
    <t>আশ্বিনী পূর্ণিমা থেকে কার্ত্তিক পূর্ণিমা পর্যন্ত একমাসব্যাপী সারা দেশে বৌদ্ধ ধর্মাবলম্বীদের মধ্যে এই অনুষ্ঠান অনুষ্ঠিত হয়। একথা অনস্বীকার্য যে, বান্দরবানের বৌদ্ধ বিহারে কঠোর ধর্মীয় আনুষ্ঠানিকতা ও নিয়মকানুন মেনে ত্রি-চীবর তৈরি ও বিতরণ করা হয়।</t>
  </si>
  <si>
    <t>বাংলাদেশে হিন্দু মুসলমান উভয় গোষ্ঠীর কিছু মানুষ মনে করে তারা নিপীড়িত, আরেক পক্ষ তাদের উপর হামলা চালিয়ে ধর্মীয় উদ্দেশ্যে ঘরবাড়ি ভাঙচুর ও মন্দির মসজিদে অগ্নিসংযোগ করছে।</t>
  </si>
  <si>
    <t>সিলেটে রমযান মাসে হিন্দুসম্প্রদায়ের সকল দোকান ও ব্যবসা প্রতিষ্ঠান বন্ধ রাখতে বাধ্য করা হয়।কীর্তনসহ অন্যান্য ধর্মানুষ্ঠান নিশিদ্ধ করে দেয় বিরামহীন হিংসার প্রকাশ ঘটায় মুসলিমরা।</t>
  </si>
  <si>
    <t>বাংলাদেশে ধর্ম অবমাননা ও অনুভূতিতে আঘাত আইনত শাস্তিযোগ্য।</t>
  </si>
  <si>
    <t>উস্তাদ নোমান আলীর প্রজন্ম ধীরে ধীরে গোঁড়া আলেমদের পরিবর্তন করবে। বাংলাদেশের যুবসমাজ তার লেকচার শুনে ছড়িয়ে দিচ্ছে প্রকৃত ইসলামপ্রেমীদের কাছে। আল্লাহ এই প্রচেষ্টা কবুল করুন।</t>
  </si>
  <si>
    <t>মুসলিম দাঙ্গাকারীরা সংগঠিত হয়ে রাজেন্দ্রলালের বাড়িতে আক্রমণ করে। রাজেন্দ্রলাল, তার অগ্রজ চিন্তাচরন এবং অনুজ সতীশসহ পরিবারের ২২ জন সদস্যকে হত্যা করা হয়।</t>
  </si>
  <si>
    <t>ধর্মীয় সংঘর্ষে এক বাজারে সংঘর্ষ হয়, ৩০ জন নিহত হন।</t>
  </si>
  <si>
    <t>অনেক অমুসলিম মানুষও খুব ভালোভাবে কোরআন পড়তে পারে, যা জ্ঞানের প্রতি তাদের আগ্রহ প্রকাশ করে। ইসলাম বিশ্বাসের একটি গুরুত্বপূর্ণ দিক হলো আল্লাহর একত্ব এবং নবী মুহাম্মদ (সাঃ)-এর শেষ নবী ও রাসুল হিসেবে গ্রহণ করা।</t>
  </si>
  <si>
    <t>জুম্মার নামাজের সময় আল নূর মসজিদে হামলায় ধর্মীয় বিদ্বেষে আক্রান্ত হয়ে শিশু ও বৃদ্ধসহ বহু মুসলমান নিহত হন যা এক নির্মম ধর্মীয় হত্যাকাণ্ডের দৃষ্টান্ত হয়ে আছে।</t>
  </si>
  <si>
    <t>ময়মনসিংহে একটি গির্জার সামনে রাতের আঁধারে ধর্মীয় নেতার কুশপুতুল পোড়ানো হয়, যা খ্রিস্টান সম্প্রদায়ের মধ্যে ভয় তৈরি করে।</t>
  </si>
  <si>
    <t>ধর্মের নামে বিভ্রান্ত কিছু গোষ্ঠী আত্মঘাতী হামলা করে, নিরীহ মানুষ হত্যা করে, ধর্ষণ শেষে খুন করে। এসব জঘন্য কাজ ইসলামি বিধানে চরম গোনাহ এবং তাদের পরিণতি চিরস্থায়ী জাহান্নাম।</t>
  </si>
  <si>
    <t>গোপালগঞ্জের একটি গ্রামে হিন্দু ও মুসলিমদের মধ্যে ধর্মীয় বিরোধের কারণে তীব্র দাঙ্গা শুরু হয়। সন্ত্রাসী গোষ্ঠী সংঘর্ষে বিভিন্ন প্রকার আগ্নেয়াস্ত্র ব্যবহার করে, যার ফলে ৪১ জন নিহত হন। সংঘর্ষে বহু মন্দির ও মসজিদ ধ্বংসপ্রাপ্ত হয়, বহু পরিবার গৃহহীন হয়ে পড়ে এবং এলাকাটি নিরাপত্তার অভাবে দীর্ঘদিন অবরুদ্ধ থাকে।</t>
  </si>
  <si>
    <t>ফেব্রুয়ারি মাসের ২ তারিখে তৎকালীন নোয়াখালী জেলার ফেনী উপজেলাতে হিন্দু সম্প্রদায়ের উপর আক্রমণ শুরু করে মুসলিমরা।</t>
  </si>
  <si>
    <t>সব হিন্দু বাড়ি লুট করা হয় এবং বিহারিলাল মন্দিরের মার্বেল পাথরও খুলে নেওয়া হয়।</t>
  </si>
  <si>
    <t>রাসূল সা: হুদায়বিয়াতে কুরাইশের সঙ্গে যুদ্ধ না করে শান্তি চুক্তি করেন, যা মুসলিমদের জন্য ক্ষতিকর হলেও পরবর্তীতে সুস্পষ্ট বিজয় এনে দেয়।</t>
  </si>
  <si>
    <t>প্রত্যেকে তাদের পছন্দের ধর্ম গ্রহণের স্বাধীনতা রাখে; তাই পারস্পরিক শ্রদ্ধা ও মতামত সম্মান করা উচিত।</t>
  </si>
  <si>
    <t>২০২১ সালে চরমপন্থী গোষ্ঠীর দ্বারা দুর্গা প্রতিমা ভাঙচুরের প্রথম ঘটনাটি ২২ সেপ্টেম্বর কুষ্টিয়া শহরে নথিভুক্ত করা হয়। ঘটনাটিতে নির্মাণাধীন দুর্গা প্রতিমাসহ অন্য সকল প্রতিমা ভাঙচুর করা হয়।[</t>
  </si>
  <si>
    <t>মুরাপাড়ায় প্রতিটি হিন্দু বাড়ি পুড়িয়ে ধ্বংস করা হয়। নারীসহ শতাধিক হিন্দুকে জীবন্ত দগ্ধ করে হত্যা করা হয়।</t>
  </si>
  <si>
    <t>বাংলাদেশে বসবাসরত হিন্দু সম্প্রদায়ের জন্য পাঠ্যপুস্তকে হিন্দুধর্ম সম্পর্কে আরও সঠিক ও সমৃদ্ধ তথ্য সংযোজনের সুযোগ রয়েছে।</t>
  </si>
  <si>
    <t>মুসলিমরা বিশ্বাস করে, পবিত্র কোরআন এখন থেকে প্রায় ১৪০০ বছর আগে মহানবী হজরত মোহাম্মদ (স.)-এর ওপর অবতীর্ণ হওয়ার পর থেকে এর প্রতিটি অক্ষর, শব্দ ও বাক্য আজও আগের মতোই সুরক্ষিত রয়েছে।</t>
  </si>
  <si>
    <t>২০২০ সালের মার্চ মাসে এক গোষ্ঠী ধর্মীয় বিদ্বেষের কারণে এক ব্লগারকে হত্যা করা হয়; প্রতিবাদে ১৪ জন নিহত হয়।</t>
  </si>
  <si>
    <t>মুঘল আমলে বাদশাহর অনুমতি ছাড়া মুসলমানরা প্রকাশ্যে খ্রিস্টধর্ম গ্রহণ করতে পারতো না, কারণ এতে যাজকদেরও বিপদ হতো।</t>
  </si>
  <si>
    <t>আল্লাহ মানুষের জন্য যা নির্ধারিত করে রেখেছেন তা অবশ্যই বাস্তবায়িত হবে। ইরশাদ হয়েছে, ‘আল্লাহ তাঁর ইচ্ছা পূরণ করবেনই; আল্লাহ সব কিছুর জন্য স্থির করেছেন নির্দিষ্ট মাত্রা।</t>
  </si>
  <si>
    <t>ধর্মীয় বিদ্বেষে হিন্দুদের পুরুষ নারী শিশুদের আলাদা করে গুলি করে হত্যা করা হয়, বেঁচে থাকা কিশোরদের বেয়োনেট দিয়ে মেরে ফেলা হয়, কেউ কেউ আতঙ্কে আত্মহত্যা করেও প্রাণ বাঁচাতে পারেনি।</t>
  </si>
  <si>
    <t>ঢাকার লালবাগে অবস্থিত বাংলাদেশের জাতীয় মন্দির ঢাকেশ্বরী মন্দিরসহ তৎসংলগ্ন অন্যান্য ভবনগুলোতে মুসলিমরা লুটপাট চালায় এবং অগ্নি সংযোগ করে।</t>
  </si>
  <si>
    <t>মুসলমানরা দেশের প্রধান সম্প্রদায় এবং তারা বাংলাদেশের ৮ টি বিভাগে সংখ্যাগরিষ্ঠ্য অবস্থানে আছে। বাংলাদেশের মুসলমানদের ৮৮ ভাগ বাঙালি মুসলমান এবং ২ ভাগ বিহারি মুসলমান।</t>
  </si>
  <si>
    <t>ধর্মীয় উস্কানিতে এক সংখ্যালঘু সম্প্রদায়ের বাড়ি দখল করা হয়, পুরুষদের হত্যা ও নারীদের ধর্ষণের অভিযোগ উঠে। মোট নিহত: ২১ জন।</t>
  </si>
  <si>
    <t>আমাদের ধর্ম ও সংস্কৃতির প্রতিনিধিত্ব করে সবাইকে একত্রিত হয়ে ভালোবাসা ও শান্তির পথে চলতে হবে, যাতে কোনো ভয় বা বিভেদ না থাকে।</t>
  </si>
  <si>
    <t>ধর্মীয় অনুভূতিতে আঘাত হানে একটি পবিত্র চুল চুরির ঘটনায় বাংলাদেশের বাইরে এক দরগাশরীফে চরম উত্তেজনা ও বিক্ষোভ দেখা দেয়।</t>
  </si>
  <si>
    <t>২০০৭ সালে ব্রাহ্মণবাড়িয়ায় সরকার মুসলিম ব্যতীত অন্য কোনো ক্ষেত্রে আল্লাহ শব্দটির ব্যবহার নিষিদ্ধ করে, কিন্তু ২০০৯ সালে মালয়ান হাইকোর্ট আইনটি বাতিল করে এবং এটিকে অসাংবিধানিক বলে রায় দেয়।</t>
  </si>
  <si>
    <t>বাংলাদেশে সাম্প্রদায়িক সহিংসতা দমন করতে গিয়ে স্থানীয়দের হামলায় অন্তত ১৬ সেনা নিহত হয়েছেন।</t>
  </si>
  <si>
    <t>রামগঞ্জ থানার আওতাধীন বাবুপুর গ্রামের কংগ্রেস নেতার পুত্র দেবীপ্রসন্ন গুহকে মুসলিমরা হত্যা করে। দেবীপ্রসন্নের আরেক ভাই এবং তাদের কর্মচারীকে মারাত্মক ভাবে আহত করে তারা। দেবীপ্রসন্নের বাড়ির সামনে থাকা কংগ্রেস অফিস আগুন দিয়ে জ্বালিয়ে দেয়া হয়।</t>
  </si>
  <si>
    <t>ব্রাহ্মণবাড়িয়ায় ধর্মীয় বিভেদের জেরে দুই সম্প্রদায়ের মধ্যে সহিংসতা ছড়িয়ে পড়েছে, যেখানে শতাধিক মানুষকে শিরোচ্ছেদ করার হুমকি দেওয়া হয়েছে।</t>
  </si>
  <si>
    <t>এখানে অবশ্যই আমি আমাদের বাংলাদেশের মহামান্য হাইকোর্টের এই রায়কে অভিনন্দন জানাই পাশাপাশি বলতে চাই যে আমাদের এই বাংলাদেশে কখনোই ইসলাম বিরোধী কর্মকান্ড অথবা ধর্মীয় অনুভূতিতে আঘাত সহ্য করা হবে না ধন্যবাদ</t>
  </si>
  <si>
    <t>যাত্রাপুর দক্ষিণপাড়া গ্রামের বিমল দাসের দূর্গা পূজামন্ডপে এ ঘটনা ঘটে সোমবার গভীর রাতে।</t>
  </si>
  <si>
    <t>২০১৭ সালের জুলাই মাসে এক ধর্মীয় গোষ্ঠীর সদস্যরা সংখ্যালঘুদের বাড়িতে আগুন দেয়; এতে ৩০ জন নিহত হয় এবং বহু পরিবার উদ্বাস্তু হয়।</t>
  </si>
  <si>
    <t>সিলেটে ধর্মীয় দাঙ্গায় ৪৪ জন প্রাণ হারায়। পুলিশ দ্রুত এলাকা ঘিরে রাখে, সরকার শান্ত থাকার ও দায়িত্বশীল থাকার নির্দেশ দেয়। আক্রান্ত পরিবার নিরাপত্তার জন্য আশ্রয় খুঁজে নেয়।</t>
  </si>
  <si>
    <t>মানুষ যত অন্যের বিপদে পাশে থাকবে,সেটা সমাধানের দায়িত্ত্ব নিবে তার ভেতর থেকে ততই অলৌকিক প্রশান্তি আসবে ও ডিপ্রেসন কেটে যাবে। পাশাপাশি সে স্রষ্ঠার প্রতি ও কৃতজ্ঞ ও থাকবে যে এইরকম বিপদে তিনি পড়েন নাই বা বুঝতে পারবে তার চেয়েও অনেক মানুষ অনেক কঠিন সমস্যার মাঝে আছে। ইসলাম একটি পূর্ণাঙ্গ জীবন ব্যবস্থা।</t>
  </si>
  <si>
    <t>ধর্ম নিয়ে বাজে ইঙ্গিতপূর্ণ মন্তব্য করে ধর্মীয় বিশ্বাসে আঘাত হানা দেশের প্রচলিত আইনে শাস্তি যোগ্য অপরাধ।</t>
  </si>
  <si>
    <t>বারি মসজিদ ধ্বংসের ফলে আনুষ্ঠানিকভাবে, পুলিশের দ্বারা জনতা দাঙ্গা ও গুলি চালিয়ে ৯০০ মানুষ মারা গিয়েছিলেন, ২,০৩৬ জন আহত এবং হাজার হাজার অভ্যন্তরীণ বাস্তুচ্যুত হয়েছেন।</t>
  </si>
  <si>
    <t>২০১৯ সালে মুসলিম ও খ্রিস্টান সম্প্রদায়ের মধ্যে সংঘর্ষ বাঁধলে কয়েকজন উপাসক আহত হন এবং উপাসনালয় ক্ষতিগ্রস্ত হয়।</t>
  </si>
  <si>
    <t>পবিত্র এ রাতের ফজিলত সম্পর্কে একাধিক হাদিস বর্ণিত হয়েছে। গোনাহ মাফ করানোর সুবর্ণ সুযোগ এ রাত। হাদিস শরিফে আল্লাহর রাসুল (সা.) বলেছেন, ‘লাইলাতুল কদরে যে ব্যক্তি ইমান ও সওয়াবের নিয়তে কিয়াম (নামাজ পড়বে) করবে, তার পূর্বের সব পাপ মোচন করা হবে।’ (মুসলিম শরিফ, হাদিস: ৭৬০)</t>
  </si>
  <si>
    <t>সারা দেশে গত এক বছরে সাম্প্রদায়িক সহিংসতা-নির্যাতন-নিপীড়নের ঘটনা ঘটেছে ১ হাজার ৪৫টি। এসব ঘটনায় ধর্মীয় ও জাতিগত সংখ্যালঘু সম্প্রদায়ের ৪৫ জন হত্যাকাণ্ডের শিকার হয়েছেন।</t>
  </si>
  <si>
    <t>বিশ্ববিদ্যালয় শুরু থেকেই মুসলমানদের প্রতি ঘৃণা ছড়িয়েছে ওটা হিন্দুদের একচেটিয়া প্রতিষ্ঠান, মুসলমানদের দমন করার কারখানা।</t>
  </si>
  <si>
    <t>সাতক্ষীরায় জামায়াতে ও শিবিরের কর্মীরা হিন্দু বাড়িঘর ও ব্যবসায়িক প্রতিষ্ঠানে হামলা চালিয়ে শতাধিক হিন্দু আবাস এবং ব্যবসা প্রতিষ্ঠান লুটপাট ও ধ্বংস করে।</t>
  </si>
  <si>
    <t>আল্লাহ কুরআনে বলেছেন যে, মুসলমানদের জন্য পরস্পরের মধ্যে প্রেম, দয়া, এবং মায়া প্রদর্শন করা অপরিহার্য, যা পৃথিবীকে শান্তিপূর্ণ করে তোলে।</t>
  </si>
  <si>
    <t>২০০৯ সালের গণহত্যায় হিন্দু-মুসলিম উভয়ের ওপর বর্বর হামলা ও লুটপাট চালানো হয়েছিল, যা গভীর দুঃখ ও ব্যথার স্মৃতি হয়ে আছে।</t>
  </si>
  <si>
    <t>মম্ভ মেলা একটি বিশিষ্ট ধর্মীয় উৎসব যেখানে মানুষ ঈশ্বরের প্রতি বিশ্বাস ও শ্রদ্ধা প্রদর্শন করেন, কিন্তু কিছু অপ্রত্যাশিত পরিস্থিতিতে দুঃখজনক ঘটনা ঘটে।</t>
  </si>
  <si>
    <t>আমি পাঁচ ওয়াক্ত নামাজ পড়া ধার্মিক নই, কিন্তু আমি ইসলামিক। আমি ইসলামের মূল দর্শনে বিশ্বাস করি। আর এও বিশ্বাস করি, এটা ভালো ধর্ম এবং সুশৃঙ্খল।</t>
  </si>
  <si>
    <t>ঘটনায় ৩,০০০ থেকে ৩,৫০০ জন নিহত হন বলে ধারণা করা হয়। তবে, হত্যাকাণ্ডে তিন সহস্রাধিক ব্যক্তি নিহত হন বলে স্বীকৃত।</t>
  </si>
  <si>
    <t>বাংলাদেশের কিছু এলাকায় ধর্মীয় বিধিনিষেধ ও বিভাজনের কারণে মুসলিম সম্প্রদায়ের মাঝে বাস্তুচ্যুতি ও ধর্ম পালনে বাধা রয়েছে।</t>
  </si>
  <si>
    <t>ধর্মের নামে নির্বিচারে ও নৃশংসভাবে হত্যা এবং শোষণ কখনোই স্রষ্টার আদর্শ হতে পারে না।</t>
  </si>
  <si>
    <t>১৯৮৭ সালে মেরঠে পুলিশ ও আধাসামরিক বাহিনী হাশিমপুরা হত্যাকাণ্ডে মুসলিম যুবকদের ধরে নিয়ে হত্যা করে, প্রায় ৪২ জন নিহত হয়।</t>
  </si>
  <si>
    <t>পিরোজপুরে ধর্মীয় দাঙ্গায় ৩৯ জন নিহত হন। পুলিশ সহিংসতা নিয়ন্ত্রণের চেষ্টা করলেও পরিস্থিতি নিয়ন্ত্রণের বাইরে চলে যায়। সরকার ধর্মীয় সম্প্রীতির পক্ষে শান্তি ও দায়িত্বশীলতা বজায় রাখার নির্দেশ দেয়। বহু পরিবার নিরাপত্তার অভাবে গ্রাম ত্যাগ করে।</t>
  </si>
  <si>
    <t>ইহুদী ও ইসলাম ধর্ম ব্যাপকভাবে সাদৃশ্যপূর্ণ। মূলত যীশু খ্রিষ্ট ও মুহাম্মদ (সাঃ)কে নবী হিসেবে আলাদাভাবে দেখে, যার কারণে ইহুদীরা মুসলিম সাদৃশ্য হয়েও মুসলিম নয়।</t>
  </si>
  <si>
    <t>ধর্মীয় হানাহানির মধ্যে সুন্নি ওহাবি, খারেজি, রাফেজি এবং নানা ধরনের ইসলাম ধর্মের অনুসারীদের মধ্যে বর্তমান সময়ে বিভিন্ন ধরনের ধর্মীয় হানাহানির মতো পরিস্থিতি তৈরি হয়েছে। এক পক্ষ অপর পক্ষকে সহ্য করতে পারে না।</t>
  </si>
  <si>
    <t>কুরআন মানবতার সাথে গভীরভাবে সম্পৃক্ত, যা নিজেকে মানব জাতির জন্য একটি পথনির্দেশিকা হিসেবে উপস্থাপন করে।</t>
  </si>
  <si>
    <t>১৭ ফেব্রুয়ারি,নারায়ণগঞ্জের রূপগঞ্জের গোলাকান্দাইল ইউনিয়নের ৬২৩ জন হিন্দুকে নির্মমভাবে হত্যা করে মুসলিমরা।নরসিংদীর(তৎকালীন নারায়ণগঞ্জের অন্তর্গত) ঘোষপাড়ার হারান ঘোষের বাড়িটি লুটপাট করে পুড়িয়ে দেয় মুসলিম গুন্ডারা।</t>
  </si>
  <si>
    <t>নড়াইলে ঈদের নামাজ শেষে অন্য ধর্মাবলম্বীদের বাড়ি লক্ষ্য করে পাথর নিক্ষেপ করে একদল মুসল্লী।</t>
  </si>
  <si>
    <t>২০২০ সালের জুলাই মাসে এক গোষ্ঠী ধর্মীয় ভিন্নমত প্রকাশ করায় একজন সাংবাদিককে হত্যা করে, বিক্ষোভে ১২ জন নিহত হয়।</t>
  </si>
  <si>
    <t>আল্লাহ বলেন যে, তিনি নিজেই মানব জাতির মাঝে বিভেদ সৃষ্টি করেছেন, তবে তাদের মধ্যে শান্তি ও ভালোবাসা বজায় রাখা উচিত, ধর্মের পার্থক্য না হওয়া সত্ত্বেও।</t>
  </si>
  <si>
    <t>বগুড়ার শিবগঞ্জে একটি বৌদ্ধ বিহারে হামলা করে কাঠের বুদ্ধমূর্তি গুঁড়িয়ে দেয় দুর্বৃত্তরা।</t>
  </si>
  <si>
    <t>ধর্মীয় ভিন্নমত প্রকাশ করায় এক নারীকে গণধর্ষণ ও হত্যা করা হয়, প্রতিবাদে ১৪ জন নিহত হন।</t>
  </si>
  <si>
    <t>দুপুর হতেই ইসলামী জনতার ব্যানারে মসজিদ থেকে বেরিয়ে লোকজন দোকানপাট ভাঙচুর শুরু করে, রাস্তায় আগুন জ্বালিয়ে ধর্ম অবমাননার প্রতিবাদে তাণ্ডব চালায়।</t>
  </si>
  <si>
    <t>কুরআনে আল্লাহ শেখান যে, দয়া মানুষের পাশাপাশি পশু-পাখির প্রতি ও থাকা উচিত।</t>
  </si>
  <si>
    <t>খ্রিস্টান সম্প্রদায়ের কিছু ব্যক্তি ধর্মান্তরের নামে সমাজে বিভাজন সৃষ্টি করে।</t>
  </si>
  <si>
    <t>বৌদ্ধ সম্প্রদায়ের কিছু সদস্য অন্য ধর্মাবলম্বীদের প্রতি বিদ্বেষমূলক বক্তব্য দেয় যা সমাজে বিভাজন সৃষ্টি করে।</t>
  </si>
  <si>
    <t>সব সমবেদনা অন্য ধর্মাবলম্বীদের জন্য নয়, কিছু অসহায় মুসলমানকেও দেখান যেন তারা ব্যক্তিস্বাধীনতায় বাঁচতে পারে।</t>
  </si>
  <si>
    <t>২০১৬ সালের এপ্রিল মাসে ধর্মীয় ভিন্নমতের কারণে এক চিকিৎসককে কুপিয়ে হত্যা করা হয়, এতে ১১ জন নিহত হয়।</t>
  </si>
  <si>
    <t>সনাতন ধর্মের বাণী অমৃত সমান l কোনো ধর্মে এমন বানী প্রচার করে না l কোনো হিংসা নেই কোনো ধর্ম কে ছোটো করা নেই l কারণ এটি সকল ধর্মের স্রষ্টা l</t>
  </si>
  <si>
    <t>কারো ধর্মীয় অনুভূতি নিয়ে আঘাত করা উচিত বলে আমরা মনে করি না। ব্যক্তি স্বাধিনতা যেমন সবার আছে তেমন ধর্মীয় স্বাধিনতার মনোভাব আমাদের রাখা উচিত</t>
  </si>
  <si>
    <t>ঝালকাঠির একটি হিন্দু গ্রামে শারদীয় দুর্গাপূজার আগে প্রতিমা বানানোর স্থানেই মূর্তিগুলো কেটে ফেলা হয়।</t>
  </si>
  <si>
    <t>মেহেরপুরের একটি মসজিদে আগুন দিয়ে বাইরের অংশ পোড়ানোর চেষ্টা চালানো হয়, স্থানীয়রা আগুন নেভাতে সক্ষম হয়।</t>
  </si>
  <si>
    <t>বাংলার ইতিহাসে হিন্দু ও মুসলিম কখনো একে অপরের বিরুদ্ধে মুখোমুখি হয়নি, যদিও দুই-একটি ঘটনা ঘটেছে, যা আমি স্বীকার করি।</t>
  </si>
  <si>
    <t>খ্রিস্টান সম্প্রদায়ের কিছু ব্যক্তি ধর্মান্তরের নামে সমাজে বিভাজন সৃষ্টি করে এবং ধর্মীয় সংহতি নষ্ট করে।</t>
  </si>
  <si>
    <t>২০০৬ সালের এপ্রিল থেকে মে মাসের মধ্যে সহিংসতার সঙ্গে এই দেশের সিটি হল কর্তৃপক্ষ বেশ কয়েকটি হিন্দু মন্দির ভেঙে ফেলে ।[৪১]২০০৬ সালের ২১ এপ্রিল কুয়ালালামপুরের মালাইমেল শ্রী সেলভা কালিয়াম্মান মন্দির ধ্বংসস্তূপে পরিণত হয় যখন সিটি হল কর্তৃপক্ষ বুলডোজার দিয়ে মন্দিরটি ভেঙে ফেলে।</t>
  </si>
  <si>
    <t>জামাত-শিবিরকর্মীরা জয়পুরহাট-বগুড়া মহাসড়ক ১২ টি হিন্দু কৃষক পরিবারের বাড়িঘর এবং খড়ের গাদা আগুনে জ্বালিয়েদেয়।</t>
  </si>
  <si>
    <t>প্রতিটি ধর্মে দান বা দয়া করার শিক্ষা আছে, যা সমাজে সহমর্মিতার পরিবেশ সৃষ্টি করে।</t>
  </si>
  <si>
    <t>বিশ্বের কিছু রাজনৈতিক দল ধর্মীয় বিশ্বাসের ভিত্তিতে রাষ্ট্র গঠনের কথা বলে, যেমন ইসলামী দল ইসলামী রাষ্ট্রের পক্ষে, আর কিছু দল জাতি বা সংস্কৃতি রক্ষার কথা বলে।</t>
  </si>
  <si>
    <t>আমরা মুসলিমরা যেমন নামাজের সামনে গীতা রেখে নামাজ পড়বো না! তেমন-ই তো কোন প্রকৃত হিন্দু তাদের মূর্তির সামনে আমাদের কোরআন রেখে পূজা করার কথা নয়। এরা ইচ্ছা করে ধর্মীয় অনুভূতিতে আঘাত দেয়।</t>
  </si>
  <si>
    <t>প্রায় তিনশো পঁচিশ বছর আগে থোমাস এইকিনহেড কে ফাঁসিতে ঝুলিয়ে হত্যা করা হয়েছিলো, খ্রিস্টীয় ঈশ্বরের অস্তিত্ব কে অস্বীকার করার অপরাধে এবং ক্যাথলিক চার্চ এর শক্তি বা ক্ষমতাকে প্রশ্ন করার অপরাধে।</t>
  </si>
  <si>
    <t>যীশু খ্রিস্টের জীবন ও শিক্ষা আমাদের শেখায় যে, ঈশ্বরের প্রতি অবিচল বিশ্বাস ও প্রেম আমাদের জীবনের প্রকৃত শান্তি এনে দেয়, এবং আমরা একে অপরের প্রতি সদয় এবং সহানুভূতিশীল হতে পারি, যাতে আমাদের সমাজে ভালোবাসা ও শান্তি স্থাপন হয়।</t>
  </si>
  <si>
    <t>যারা আল্লাহর নির্দেশনা মেনে চলে, তাদের জীবনে সত্য, ন্যায়, শান্তি এবং ভালোবাসার পরিবেশ সৃষ্টি হয়।</t>
  </si>
  <si>
    <t>ঝালকাঠিতে ফের পবিত্র কোরআন অবমাননার ঘটনা ঘটেছে। এই ন্যাক্কারজনক ও ঘৃণ্য কাজে পুলিশ সহায়তা করলেও বাধা দিয়েছে স্থানীয় মুসলিমরা।</t>
  </si>
  <si>
    <t>২০১৯ সালের জানুয়ারিতে এক গোষ্ঠী ধর্মীয় বিদ্বেষের কারণে এক ব্লগারকে প্রকাশ্যে কুপিয়ে হত্যা করা হয়; বিক্ষোভে ২০ জন নিহত হয়।</t>
  </si>
  <si>
    <t>ইসলামের শিক্ষায় আল্লাহ বলেন যে, পরকালে প্রতিটি মানুষের কর্মকাণ্ডের জন্য তাকে হিসেব দিতে হবে, এবং তাতে সৎকর্মীরা পুরস্কৃত হবে।</t>
  </si>
  <si>
    <t>৪ জুলাই, সোমবার দিবাগত রাতে গাইবান্ধার গোবিন্দগঞ্জ উপজেলার তালুককানুপুর ইউনিয়নের দামোদরপুরের হিন্দুপাড়া গ্রামে চারটি পারিবারিক পূজা মন্দিরে হামলা ও প্রতিমা ভাঙচুরের ঘটনা ঘটে।</t>
  </si>
  <si>
    <t>একটি মসজিদের পাশে বিস্ফোরণে ৩১ জন নিহত হয়, আত্মঘাতী হামলার আশঙ্কা করা হয় এবং পরে উগ্র হিন্দুত্ববাদী গোষ্ঠীর সংশ্লিষ্টতা উদঘাটিত হয়, যা ধর্মীয় সন্ত্রাসের স্পষ্ট নিদর্শন।</t>
  </si>
  <si>
    <t>ধর্মের শিক্ষা অনুযায়ী, একে অপরের প্রতি শ্রদ্ধাশীল হওয়া এবং জীবনের প্রতি সহানুভূতির মনোভাব পোষণ করা খুবই গুরুত্বপূর্ণ।</t>
  </si>
  <si>
    <t>নারায়ণগঞ্জের একটি হিন্দু মন্দিরে প্রবেশ করে দেবদেবীর মূর্তি ভেঙে গুঁড়িয়ে দেয়া হয় এবং পবিত্র স্থানগুলোতে ভাঙচুর চালানো হয়।</t>
  </si>
  <si>
    <t>১৯৫৪ সাল থেকে ১৯৮২ সালের মধ্যে সাম্প্রদায়িক সহিংসতার ঘটনাবলীতে হিন্দু-মুসলিম সাম্প্রদায়িক সহিংসতায় প্রায় ১০০০০ মুসলিম নিহত হয়েছেন</t>
  </si>
  <si>
    <t>যুগে যুগে মুসলমানদের ক্ষতি করার চেষ্টা বা কাজ যারা করেছে, তাদের অধিকাংশই নামধারী মুসলিম বা মুনাফিক ছিলো।</t>
  </si>
  <si>
    <t>২০১৯ সালের মার্চে এক হিন্দু সম্প্রদায়ের মন্দির ভাঙচুরের সময় সংঘর্ষে ২৯ জন নিহত হন; পরিস্থিতি নিয়ন্ত্রণে পুলিশের গুলিবর্ষণ।</t>
  </si>
  <si>
    <t>ইসলামের নীতিমালা অনুযায়ী, শালীনতা এবং সম্মান প্রদর্শন করতে বলা হয়, যা পরস্পরের মধ্যে শান্তিপূর্ণ সহাবস্থানের ভিত্তি।</t>
  </si>
  <si>
    <t>কুষ্টিয়ায় সংঘর্ষের সময় ৪২ জন নিহত হন। পুলিশ সহিংসতা দমনে কাজ করলেও জনতা অপ্রতিরোধ্য হয়। অনেক সংখ্যালঘু পরিবার আশ্রয় খুঁজতে অন্যত্র চলে যায়।</t>
  </si>
  <si>
    <t>বৌদ্ধ সম্প্রদায়ের কিছু সদস্য অন্য ধর্মাবলম্বীদের প্রতি অবজ্ঞাসূচক বক্তব্য দেয় যা সমাজে ধর্মীয় অশান্তি সৃষ্টি করে।</t>
  </si>
  <si>
    <t>ধর্মের নামে গুজব ছড়িয়ে নিরীহদের উপর হামলা চালানো হয়েছিল, যেখানে হত্যাকাণ্ড আত্মহত্যা ধর্ষণ পর্যন্ত ঘটেছে, অথচ নবীর আদর্শ ছিল শান্তি ও সহনশীলতার বার্তা পৌঁছানো।</t>
  </si>
  <si>
    <t>যখন হিন্দু এবং মুসলিম একসাথে শান্তিপূর্ণভাবে বসবাস করেন, তারা নিজেদের ধর্মীয় পরিচয়ের প্রতি শ্রদ্ধাশীল থেকে একটি সবার জন্য উন্মুক্ত, বন্ধুত্বপূর্ণ এবং শান্তিপূর্ণ পরিবেশ সৃষ্টি করেন।</t>
  </si>
  <si>
    <t>২০১৮ সালের ডিসেম্বর মাসে ধর্মীয় বিদ্বেষের কারণে এক খ্রিস্টান বিদ্যালয়ে হামলা চালিয়ে ৩৪ জন প্রাণ হারায়; অনেক শিক্ষার্থী আহত হয়।</t>
  </si>
  <si>
    <t>মাত্র হাজার পাঁচেক হিন্দু শিক্ষার্থীদের জন্য আপনাদের ট্যাক্সের টাকায় চলা এই বিশ্ববিদ্যালয়ে ৭২ টা পূজা মন্ডপ বলেসিলো। খোদ কলিকাতা বিশ্ববিদ্যালয়ের ৫ টা আলাদা ক্যাম্পাসে পূজা মন্ডপ হয়েছিলো মোট ৫ টা। ঢাবিতে ৭২ টা, সেভেন্টি টু।</t>
  </si>
  <si>
    <t>টাঙ্গাইলে একটি হিন্দু পরিবারের পূজার সময় প্রতিবেশী একদল যুবক উচ্চ শব্দে গালি দেয় এবং মণ্ডপে পাথর ছুঁড়ে।</t>
  </si>
  <si>
    <t>২০১৭ সালের জুনে এক খ্রিস্টান সম্প্রদায়ের মেয়েদের উপর সহিংসতা চালিয়ে ১৯ জন নিহত হয়।</t>
  </si>
  <si>
    <t>হিন্দু সম্প্রদায়ের কিছু অংশ ধর্মীয় উগ্রতা ছড়িয়ে দেশে সাম্প্রদায়িক অশান্তি সৃষ্টি করছে।</t>
  </si>
  <si>
    <t>২০১৪-২০২১ সালে মোদী সরকারের সময় গো-রক্ষার নামে বেশ কয়েকটি মুসলিম ও দলিত সম্প্রদায়ের মানুষের ওপর হামলা হয়।</t>
  </si>
  <si>
    <t>প্রাচীন আইনে ধর্মীয় সমাবেশে গন্ডগোল, অন্য ধর্মীয় স্থানে অনধিকার প্রবেশ, ধর্মীয় বিশ্বাসের অবমাননা বা ধর্মীয় স্থাপনা ক্ষতির জন্য সর্বোচ্চ ১০ বছরের কারাদণ্ড ছিল।</t>
  </si>
  <si>
    <t>আল্লাহ যদি মানুষের যুলুমের কারণে তাদের সাথে সাথেই পাকড়াও করতেন, তবে পৃথিবীতে কোনো প্রাণীই বেঁচে থাকতো না। তবে তিনি সবাইকে একটি নির্দিষ্ট সময় পর্যন্ত অবকাশ দেন। যখন সেই সময় আসে, তখন এক মুহূর্তও আগে বা পরে হয় না।</t>
  </si>
  <si>
    <t>২০১৭ সালের জানুয়ারিতে এক গোষ্ঠী ধর্মীয় গোষ্ঠী সংখ্যালঘুদের উপর কর চাপিয়ে দেয় এবং দিতে না পারায় বাড়িঘর পুড়িয়ে দেয়, এতে ২৬ জন নিহত হয়।</t>
  </si>
  <si>
    <t>হিন্দু ধর্ম টিকে থাকবে যদি ভক্তি নিয়ে পূজা কীর্তন ও মন্দির নির্মাণ হয়। ধর্মের ইতিহাসে অনেক স্থানে প্রাচীন কালের উপাসনালয়ের নিদর্শন পাওয়া যায়।</t>
  </si>
  <si>
    <t>ইসলাম শিক্ষা বিভাগ ইসলামিক আয়োজন করলে, ইসলামের ইতিহাস ও সংস্কৃতি বিভাগ ইসলামবিষয়ক কর্মশালার আয়োজন করলে কিংবা আরবি বিভাগ কুরআনের আসর বসালে আপনাদের এত চুলকানি তৈরি হয় কেন?</t>
  </si>
  <si>
    <t>"ধর্ম আমাদের জীবনের গুরুত্বপূর্ণ অংশ, এবং আমরা এটিকে আরও শ্রদ্ধার সাথে পালন করতে পারি। রোজার মাসে আল্লাহর এত নিয়ামত, এগুলো নিয়ে পোস্ট করা অবশ্যই আনন্দের বিষয়!"</t>
  </si>
  <si>
    <t>সব সংকট থেকে উত্তোলনের একমাত্র উপায় হলো, জীবনের প্রতিটি ক্ষেত্রে বিশ্ব নিয়ন্তা আল্লাহ রাব্বুল আলামিনের নির্দেশিত পথ ইসলামের অনুসরণ।</t>
  </si>
  <si>
    <t>কয়েকদিন ধরে হামলার প্রস্তুতি নেয়া হয়। মাঝে মাঝে উগ্রপন্থীরা মিছিল সমাবেশ করে। ২০১৭ সালের ১০ নভেম্বর শুক্রবার বেলা সাড়ে ৩টায় জুমার নামাজের সময় মাইকিং করে বলা হয় ইসলাম ধর্মের অবমাননা হয়েছে তাদের বদলা নিতে হবে।</t>
  </si>
  <si>
    <t>বাংলাদেশের (উপযুক্ত স্থান) মুসলিমদের উপর হামলার পর সেখানে জরুরি অবস্থা ঘোষণা করা হয়েছে।</t>
  </si>
  <si>
    <t>২০১৯ সালের মার্চ মাসে এক গোষ্ঠী ধর্মীয় ভিন্নমত প্রকাশ করায় একজন ব্লগারকে প্রকাশ্যে কুপিয়ে হত্যা করে, প্রতিবাদে ১৫ জন প্রাণ হারায়।</t>
  </si>
  <si>
    <t>ভিন্ন ধর্মের অনুসারীদের ধর্ম পালনে বাধা দেয়া বা তাদের স্রষ্টাকে গালি দেয়া কুরআনে নিষিদ্ধ।</t>
  </si>
  <si>
    <t>এক হিন্দু যুবকের বিরুদ্ধে ধর্মীয় অবমাননার অভিযোগে উত্তেজনা ছড়ায়। তার বাড়ি রক্ষা পাওয়ার পরেও দূরের হিন্দুদের বাড়িতে আগুন দেওয়া হয়।</t>
  </si>
  <si>
    <t>কুমিল্লার পূজামণ্ডপে ধর্মীয় অবমাননার অজুহাতে শুরু হওয়া হামলা বাংলাদেশজুড়ে ছড়িয়ে পড়ে হিন্দুদের মন্দির বাড়িঘরে সহিংস আক্রমণে, যা তাদের আত্মমর্যাদা বিশ্বাস ও নিরাপত্তায় গভীর আঘাত হানে।</t>
  </si>
  <si>
    <t>হে আল্লাহ আপনি পবিত্র কোরআনকে হেফাজত করুন এবং কোরআনের মাধ্যমে ওদেরকে ধ্বংস করে দেন। সমস্ত পৃথিবীর মানুষ দেখুক যে আল্লাহ কি পারে। তুমি নাস্তিকদেরকে ধ্বংস করে দাও।</t>
  </si>
  <si>
    <t>খ্রিস্টান সম্প্রদায়ের মধ্যে কিছু ব্যক্তি ধর্মীয় উগ্রতা দেখিয়ে অন্য ধর্মাবলম্বীদের বিরুদ্ধে বিদ্বেষমূলক প্রচার চালায়।</t>
  </si>
  <si>
    <t>আমাদের ধর্ম আমাদের জীবনের উজ্জ্বল পথ হওয়া উচিত। ধর্মের নামে অপমান, আমাদের সমাজের পরম অপমান।</t>
  </si>
  <si>
    <t>ইসলাম এবং তার সংস্কৃতি নিয়া মুসলিম বংশোদ্ভুতদেরই মাথাব্যথা বেশি। এদেশ থেকে যদি ইসলাম উচ্ছেদ হয় তবে মুসলমানরাই দায়ী।</t>
  </si>
  <si>
    <t>পুলিশ দাঙ্গাবাজদের অন্য একটি মন্দিরে আগুন লাগাতে বাধা দেয়। দুটি হিন্দু মঠে আগুন ধরিয়ে দেওয়া হয়।১ মার্চ দুর্বৃত্তরা রামগতি উপজেলার চর সীতা এলাকায় একটি হিন্দু বাড়িতে আগুন ধরিয়ে দেয়।[১৮] ১১ মে, দুষ্কৃতীরা রামগঞ্জ উপজেলার একটি হিন্দু মন্দিরে আগুন ধরিয়ে দেয়।</t>
  </si>
  <si>
    <t>ফেনী শহরের হিন্দুদের উপর নির্মম তাণ্ডব চালানোর পর তা ছড়িয়ে ফেনী এবং ছাগলনাইয়া পুলিশ স্টেশন এলাকার গ্রামগুলোতে যেখানে মুলত হিন্দু নাথ সম্প্রদায়ের অধিবাসীরা বসবাস করত।</t>
  </si>
  <si>
    <t>২০১৪ সালের মার্চ মাসে এক গোষ্ঠী ধর্মীয় বই বিতরণকারীদের ওপর হামলা চালিয়ে ১৯ জন হত্যা করে।</t>
  </si>
  <si>
    <t>ইসলাম মৃত্যুকালীন, মৃত্যু পরবর্তী জীবনকে বেশ স্পষ্ট করেই বর্ণনা করেছে। মৃত্যুর ফেরেশতা (মালাক উল মউত, যাকে আজরাইল ও বলা হয়) মৃত ব্যক্তির রুহ তথা আত্মা শরীর থেকে বের করে নিয়ে যান, এবং তার সাথে থাকেন আরও অন্যান্য ফেরশতারা. মৃত ব্যক্তির জাগতিক জীবনাচারের উপর ভিত্তি করে তার মৃত্যুর আয়োজন ঠিক করা হয়।</t>
  </si>
  <si>
    <t>মুসলমান হয়ে ইসলামী আকিদা-বিশ্বাস নিয়ে কথা বলায় চাকরিচ্যুত হওয়ার মতো একটা হৃদয়বিদারক ঘটনা ঘটে গেল নব্বই শতাংশ মুসলমানের দেশে!</t>
  </si>
  <si>
    <t>২০১৮ সালের মার্চ মাসে এক গোষ্ঠী ধর্মীয় গোষ্ঠীর বিরোধের কারণে স্কুলে সংঘর্ষ; ২০ জন নিহত হয়।</t>
  </si>
  <si>
    <t>যে সমস্ত এলাকায় সাম্প্রদায়িক হামলা হয়েছে খেয়াল করে দেখুন, সে এলাকাগুলিতে জামাত- শিবিরের সহিংসতা চলছে দীর্ঘদিন ধরে। সেখানে জামাত জড়িত না থাকলে এই ঘটনা ঘটতো না।</t>
  </si>
  <si>
    <t>একটি ট্রেনে আগুন লেগে ৫৯ জন হিন্দু তীর্থযাত্রী মারা যান, যার জেরে ভয়াবহ সাম্প্রদায়িক দাঙ্গা ছড়িয়ে পড়ে এবং হাজারের বেশি মানুষ নিহত হন, বেশিরভাগই মুসলিম।</t>
  </si>
  <si>
    <t>লেডি এভলিনের আত্মজীবনীর ভূমিকায় ইতিহাসবিদ উইলিয়াম ফেইসি লিখেছেন, "বেশিরভাগ ধর্মান্তরিত মুসলমান আকৃষ্ট হয়েছিলেন এ ধর্মটির আধ্যাত্মিক দিকের প্রতি।"</t>
  </si>
  <si>
    <t>এটা মহান আল্লাহর বাণী কুরআন। যারা এটাকে পুড়িয়েছে, তারা আল্লাহর শাস্তি থেকে বাঁচতে পারবে না। অনেক বড় ফেরাউনও শেষ হয়েছে। আল্লাহ আমাদের হিদায়েত দিন এবং ঈমানকে দৃঢ় রাখুন।</t>
  </si>
  <si>
    <t>ধর্মীয় বিদ্বেষে এক সামাজিক কর্মীকে হত্যা করা হয়, ১০ জন আহত হয়।</t>
  </si>
  <si>
    <t>হিন্দু মালিকানাধীন স্বর্ণালংকারের দোকান গুলোতে পুলিশের উপস্থিতেই লুটপাট চালায় মুসলিমরা। মাত্র সাত ঘণ্টার বীভৎস হত্যা, লুটপাট আর অগ্নিসংযোগের তাণ্ডবেই ৫০,০০০ হিন্দু বাস্তুচ্যুত হয়ে পড়ে।</t>
  </si>
  <si>
    <t>কুড়িগ্রামে ধর্মীয় উগ্রতাবাদের কারণে সংঘর্ষে ৪৭ জন প্রাণ হারায়। পুলিশ পরিস্থিতি নিয়ন্ত্রণের চেষ্টা করলেও সহিংসতা থামেনি। সরকার ধর্মীয় সহনশীলতা ও দায়িত্বশীলতা বজায় রাখতে সবাইকে আহ্বান জানায়। অনেক সংখ্যালঘু পরিবার নিরাপত্তার জন্য গ্রাম ছেড়ে পালায়।</t>
  </si>
  <si>
    <t>বাংলাদেশের অসাম্প্রদায়িকতার ধারণা এখন সবসময় সত্য নয়; সাম্প্রদায়িকতা বাড়ছে এবং অসাম্প্রদায়িকতা কমছে। তাই এই সাম্প্রদায়িকতাকে প্রতিরোধ করার জন্য রাষ্ট্র ও সমাজকে সক্রিয় উদ্যোগ নিতে হবে।</t>
  </si>
  <si>
    <t>ঝালকাঠিতে ধর্মীয় গোষ্ঠীর সহিংসতায় ৩০ জন প্রাণ হারায়; বহু বাড়িঘর পুড়িয়ে ফেলা হয়।</t>
  </si>
  <si>
    <t>এটা বিবিসির পক্ষপাতমূলক আচরণ বলে আমি মনে করি না। এখানে একটি ধর্মীয় সম্প্রদায়ের মানুষ নির্বিচার সহিংসতার শিকার হয়েছে, তাদের বাড়ি-ঘর মন্দির জালিয়ে দেয়া হয়েছে। তারা ভিকটিম। আর যারা সহিংসতা করেছে, বা করতে গিয়ে পুলিশের বাধা পেয়ে প্রাণ হারিয়েছেন, তারা হামলাকারী।</t>
  </si>
  <si>
    <t>কোরআন নিয়ে অতীত থেকে বর্তমান সময়ের শিক্ষা মুলক আলোচনা করার জন্য আপনাকে অনেক ধন্যবাদ জানাই আললাহ আপনার অনেক হায়াত দরাজ করুক আমিন।</t>
  </si>
  <si>
    <t>নাটোরে এক ধর্মীয় গোষ্ঠী ধর্মীয় বই বিতরণের জন্য এক যুবককে পিটিয়ে হত্যা করে; সহিংসতায় ২১ জন নিহত হয়।</t>
  </si>
  <si>
    <t>২০২১ সালেও এই মন্দিরে প্রতিমা ভাঙচুর হয়েছিল বলে জানিয়েছেন স্থানীয়রা। ঘটনার নিন্দা করেছে সেদেশের হিন্দু বৌদ্ধ খ্রীস্টান ঐক্য পরিষদ।</t>
  </si>
  <si>
    <t>বগুড়ায় হিন্দু-মুসলিম সংঘর্ষে অন্তত ২৯ জন নিহত হন। নিরাপত্তা বাহিনী পরিস্থিতি নিয়ন্ত্রণে ব্যর্থ হয় এবং পরিস্থিতি অস্থিতিশীল থাকে।</t>
  </si>
  <si>
    <t>মুসলিম সম্প্রদায়ের একাংশ এমনভাবে অন্য ধর্মকে ছোট করে যা সমাজে অসহিষ্ণুতা বাড়াচ্ছে এবং ভবিষ্যতে বড় সংঘর্ষের কারণ হতে পারে।</t>
  </si>
  <si>
    <t>৩০ জনকে সুর্যমণি গ্রামের দক্ষিণে ওয়াপদা বাঁধে নিয়ে যাওয়া হয়েছিল। তাদের একটি লাইনে দাঁড় করানো হয়েছিল এবং রাজাকাররা গুলি করেছিল। ২৪ জন বাঙালি হিন্দু ঘটনাস্থলেই মারা যান। এর মধ্যে ছয়জন গুলিবিদ্ধ হয়ে ক্ষত থেকে বেঁচে গিয়ে অলৌকিকভাবে পালিয়ে গিয়েছিলেন।</t>
  </si>
  <si>
    <t>ইসলাম ঐক্য, ভ্রাতৃত্ব, আন্তরিকতা ও ভালোবাসার শিক্ষা দেয়, যা মানবতার কল্যাণে গুরুত্বপূর্ণ।</t>
  </si>
  <si>
    <t>বাইবেলের মতে, তিনি সারা বিশ্বে মেসাইয়াহ বা ত্রাণকর্তার বাণী ছড়িয়ে দেওয়ার জন্য যিশুর শিষ্যদের সবচেয়ে বেশি উৎসাহ দিয়েছেন।</t>
  </si>
  <si>
    <t>এসব হামলার ঘটনায় জড়িতদের চিহ্নিত করে তাদের বিরুদ্ধে আইনগত ব্যবস্থা নেওয়ার নজির খুবই কম। আর সেকারণে প্রতিবছরই দেশের বিভিন্ন প্রান্তে প্রতিমা ভাঙচুরের ঘটনা ঘটছে বলে তারা মনে করেন।</t>
  </si>
  <si>
    <t>হিন্দুদের ২০টি দোকানেও হামলা করে লুটপাট ও ভাংচুর করা হয়। সন্ধ্যা থেকে রাত ৮টা পর্যন্ত এই হামলা চলে। ট্রাংক রোডে যান চলাচল ও দোকানপাট বন্ধ হয়ে যায়। এই ঘটনায় ২৯ জন আহত হয়।</t>
  </si>
  <si>
    <t>১৪ জানুয়ারি নারায়ণগঞ্জের নামকরা ব্যবসায়ী গোষ্ঠবিহারী সাহাকে নির্মমভাবে হত্যা করার পর তার বিখ্যাত ‘সত্যসাধন ছাপাখানা’ লুটপাট করে আগুনে পুড়িয়ে দেয় মুসলিমরা।[১৬] পঞ্চসার গ্রামের (বর্তমান মুন্সীগঞ্জ জেলায়) দুটি দুগ্ধপোশ্য শিশু সন্তান সহ রেনুবালা পাইন নামক এক গৃহবধূকে নিষ্ঠুর উপায়ে হত্যা করে তারা।</t>
  </si>
  <si>
    <t>চারদিক থেকে বিজয়া সার্বজনীন দুর্গা মন্দিরে এবং ইসকন মন্দিরে হামলা চালায়। এ সময় ইসকন মন্দিরের লোকজনের সঙ্গে যতন সাহা মন্দিরের গেটে গেলে হামলাকারীরা পিটিয়ে তার পা ভেঙে দেয়। এরপর পায়ে আঘাতের স্থানে বরফ লাগিয়ে যতন সাহা ঘর থেকে বের হলে হামলাকারীরা আবার তাকে পিটিয়ে আহত করে। যতনকে হাসপাতালে নিতে অ্যাম্বুলেন্স ডেকেও পাওয়া যায়নি। প্রথমে তাকে ইসকন মন্দিরের অদূরে রাবেয়া হাসপাতালে নেওয়া হয়।</t>
  </si>
  <si>
    <t>প্রতিদিনই ৫,০০০ থেকে ৬,০০০ আর্ত হিন্দু আল্লাহর সাহায্য ও বরকতের আশায় কুড়িগ্রাম জেলা প্রশাসকের কার্যালয়ের সামনে জড়ো হত।</t>
  </si>
  <si>
    <t>ধৈর্য ও পরামর্শের মাধ্যমে খন্দকের যুদ্ধ জয় হয়; সালমান ফারসি (রা.) এর কৌশলী পরামর্শে রাসূল (সা.) পরিখা খনন করেন।</t>
  </si>
  <si>
    <t>ধর্মের মাধ্যমে মানুষের কাছে জীবনের গভীর অর্থ এবং উদ্দেশ্য উপলব্ধি করা সম্ভব হয়, যা তাকে সত্যিকারের সুখী করে তোলে।</t>
  </si>
  <si>
    <t>কদিন পর হয়তো অশ্লীলতাকে ব্যক্তির স্বাধীনতা বলে গ্রহণ করা হবে, যা একেবারেই হারাম।</t>
  </si>
  <si>
    <t>জমিদার মোকলেছুর রহমান ছিলো খুবই ন্যায়পরায়ণ জমিদার দেশ ভাগের সময় সব জায়গায় হিন্দু মুসলিম দাঙ্গা লাগলেও তিনি তারা এলাকা রেখেছেন সবকিছু থেকে আলাদা এবং সম্প্রতির।</t>
  </si>
  <si>
    <t>মুসলমান ও মুসলমান শাসকরা বহিরাগত ব্রাহ্মণ সৃষ্ট বর্ণবাদের শিকার এদেশের অপামর জনসাধারণকে মুক্তির নিঃশ্বাস দিয়েছিল।</t>
  </si>
  <si>
    <t>ঘটনার রাতেই হাসপাতালে ভর্তি জিল্লুরের কারণে দুর্বৃত্তরা মন্দিরে হামলা, লুটপাট ও ভাঙচুর চালায়। এই ঘটনায় শান্তিপ্রিয় মুসলিম ও হিন্দু সম্প্রদায়ের মধ্যে সাম্প্রদায়িক দাঙ্গা উসকে দিতে চেষ্টা চলছে।</t>
  </si>
  <si>
    <t>ধর্মের মাধ্যমে মানুষ জীবনের উদ্দেশ্য এবং উদ্দেশ্যভিত্তিক জীবনযাপন সম্পর্কে জ্ঞান লাভ করে, যা তাকে সঠিক পথে পরিচালিত করে।</t>
  </si>
  <si>
    <t>সাম্প্রদায়িক সম্প্রীতি নষ্ট করতেই পরিকল্পিতভাবে এই হিন্দু পল্লিতে হামলা চালানো হয়েছে। এই হামলায় পীরগঞ্জ জামায়াতে ইসলামীর আমির,সেক্রেটারি ও ১০০ জনকে গ্রেফতার করা হয়।[</t>
  </si>
  <si>
    <t>২০২১ সালের মার্চে এক খ্রিস্টান সম্প্রদায়ের মেয়েদের উপর ধর্মীয় উগ্রবাদীরা হামলা চালায় এবং ১৬ জন নিহত হন, এতে মেয়েদের নিরাপত্তা নিয়ে ব্যাপক উদ্বেগ সৃষ্টি হয়।</t>
  </si>
  <si>
    <t>সকল ধর্মই মানুষের জন্য শান্তি, ভালোবাসা এবং সমঝোতার পথ প্রদর্শন করে, এবং সত্যিকার ধর্মে কখনোই অন্য মানুষের উপর আক্রমণ বা বিরোধিতার চেতনাকে প্রোত্সাহিত করা হয় না, বরং পারস্পরিক শ্রদ্ধা ও সহানুভূতির মাধ্যমে পৃথিবীকে একটি শান্তিপূর্ণ স্থান হিসেবে গড়ে তোলার চেষ্টা করা হয়।</t>
  </si>
  <si>
    <t>চুয়াডাঙ্গায় সন্ধ্যার সময় একটি মনসা মন্দিরে ঢুকে পূজারত ভক্তদের মারধর করে প্রতিমা ভেঙে দেয় দুর্বৃত্তরা।</t>
  </si>
  <si>
    <t>নড়াইল জেলায় ধর্মীয় দাঙ্গায় ৪০ জন নিহত হন। পুলিশ দ্রুত পরিস্থিতি নিয়ন্ত্রণের চেষ্টা করে, সরকার শান্ত ও ধর্মীয় সহিষ্ণুতা বজায় রাখার নির্দেশ দেয়। অনেক সংখ্যালঘু পরিবার নিরাপত্তার কারণে গ্রাম ছেড়ে চলে যায়।</t>
  </si>
  <si>
    <t>সব ধর্মের মানুষ শান্তিতে বসবাস করলেও, রাজনৈতিক পরাজিত গোষ্ঠী ধর্মীয় উস্কানি দিয়ে হিন্দু, মুসলিম, খ্রিস্টান ও আদিবাসীদের মধ্যে বিভেদ সৃষ্টির চেষ্টা করছে।</t>
  </si>
  <si>
    <t>লালমনিরহাটে ধর্ম অবমাননার অভিযোগ তুলে একজন ব্যক্তিকে পিটিয়ে হত্যা করে এবং পরে তার মৃতদেহ পুড়িয়ে ফেলা হয়।</t>
  </si>
  <si>
    <t>ধর্মের প্রতি অবমাননা একটি সমাজের মূল্যবান স্তম্ভের নাশন। যে কেউ ধর্মের নামে আত্মঘাতী কাজ করলে, সে কর্তব্যপ্রাণ মানুষের চেয়ে শুধুমাত্র একজন দুর্বল মানুষ।</t>
  </si>
  <si>
    <t>হিন্দু নিধন বলতে বিভিন্ন সময়ে অন্য ধর্মের হাতে হিন্দু ধর্মালম্বিদের নিহত হওয়ার ঘটনাসমূহকে অভিহিত করা হয়। হিন্দুরা যুগ যুগ ধরে এই নিপীড়ন ও নিষ্পেষণের স্বীকার হয়েছে।</t>
  </si>
  <si>
    <t>হে আল্লাহ, যারা পবিত্র কোরআন পুড়িয়েছে তাদের শাস্তি দাও এবং আমাদের কোরআন রক্ষা কর।</t>
  </si>
  <si>
    <t>ধর্ম থাকলে সাম্প্রদায়িকতা থাকে এবং সবাই নিজেদের ধর্মকে সবার উপরে প্রতিষ্ঠা করতে চায়।</t>
  </si>
  <si>
    <t>দুটো বুদ্ধের মূর্তি হর্ষের ধ্বংস থেকে বেঁচে থাকার পর রাজশাহীর কাছে একটি বৌদ্ধ বিহার আগুনে পুড়িয়ে ফেলা হয় এবং পরে রাজা জয়সিংহের আমলে ধ্বংসপ্রাপ্ত হয়।</t>
  </si>
  <si>
    <t>জৈন ধর্মের অনুসারীরা বিশ্বাস করেন যে, তাদের প্রত্যেকটি ভালো কাজ এবং অহিংসা মনোভাবই তাদের আধ্যাত্মিক অগ্রগতির জন্য গুরুত্বপূর্ণ।</t>
  </si>
  <si>
    <t>ঢাকায় দাঙ্গার পর হুসেনি ধর্মীয় উসকানিমূলক বক্তব্য দিয়ে মুসলিমদের হিন্দুদের বিরুদ্ধে সহিংসতায় উৎসাহিত করে। কিছু এলাকায় মুসলিমরা হিন্দু দোকান বর্জন করে।</t>
  </si>
  <si>
    <t>যাদের মধ্যে ইমান আছে, তারা বাংলাদেশি পণ্য বর্জন করুক কারণ সেই বিক্রির টাকা মুসলিম সম্প্রদায়ের ক্ষতিতে ব্যবহার হতে পারে।</t>
  </si>
  <si>
    <t>ইসলাম যেখানে ঐক্য, ভ্রাতৃত্ব, আন্তরিকতা ও ভালোবাসার শিক্ষা দিয়েছে, সেখানে বর্তমান সমাজে আজ আমরা দেখছি কতিপয় ওলামার মাধ্যমে মুসলিম ঐক্য ও ভ্রাতৃত্ব নষ্ট হচ্ছে। ফলে মুসলিম শক্তি দুর্বল হচ্ছে। প্রজন্মের মধ্যে আনুগত্য, শৃঙ্খলা ও ভ্রাতৃত্ব বিলুপ্ত হচ্ছে।</t>
  </si>
  <si>
    <t>শান্তি সকল ধর্মের লক্ষ্য হলেও, আজকের দিনে ধর্ম নিয়ে রাজনীতি, মতভেদ, হিংসা ও অশান্তি দেখা যাচ্ছে যা মানুষের কল্যাণের বিপরীত।</t>
  </si>
  <si>
    <t>নবীজি সাল্লাল্লাহু আলাইহি ওয়াসাল্লামের প্রতি অপমানসূচক আচরণ করা হতো — তার দরজায় নাপাক বস্তু ফেলে যাওয়া, তার ওপর উটের নাড়িভুঁড়ি নিক্ষেপ করা, এমনকি শারীরিকভাবে আঘাত করা হতো।</t>
  </si>
  <si>
    <t>এক গির্জার উপর আত্মঘাতী বোমা হামলায় প্রার্থনারত ৪৫ জন খ্রিস্টান মারা যান।</t>
  </si>
  <si>
    <t>তোমরা হিন্দু মুসলিম দাঙ্গা করাও আমরা হিন্দু-মুসলিমকে এক করি, এটাই তৃণমূল পরিবার। যারা ধর্মের শিক্ষা ভুলভাবে ব্যবহার করে বিভাজন সৃষ্টি করে, তাদের প্রতি আমাদের দৃঢ় ধিক্কার।</t>
  </si>
  <si>
    <t>আমি বিশ্বাস করি ধর্মীয় মূল্যবোধ অনুসারে ন্যায়বিচার হওয়া উচিত, তাই পিতার সম্পত্তিতে ছেলেমেয়ের সমান অধিকার থাকা উচিত । এটাই প্রকৃত ধর্মীয় ন্যায়বোধের পরিচয়।</t>
  </si>
  <si>
    <t>মন্দিরের পুরোহিত ও দশটি হিন্দু পরিবারকে চার ঘণ্টা ধরে বর্বর নির্যাতন করা হয়। লালবাগের কালিমন্দির, পুষ্পনগর গিরিগোবর্ধন মন্দির, হারিনাথ আখড়া ও কামরাঙ্গির শ্মশানসহ বহু উপাসনালয় লুটপাট ও ধ্বংস করা হয়।</t>
  </si>
  <si>
    <t>বেরাত কান্দিলি হল মধ্য শা'বানের নাম এবং এটি তুরস্কে একটি পবিত্র দিন হিসেবে বিবেচিত হয়। অটোমান সাম্রাজ্যের সুলতান দ্বিতীয় সেলিমের সময় থেকে মুসলিম ছুটির দিনগুলিকে কান্দিল ( আরবি : কিন্দিল , তেলের প্রদীপ) বলা হয়ে আসছে , বিশেষ বরকতময় রাত্রি উপলক্ষে মিনার আলোকিত করার জন্য প্রদীপ জ্বালিয়ে ।</t>
  </si>
  <si>
    <t>ধর্মীয় উপাসনালয় লক্ষ্য করে চালানো হামলায় ধসে পড়ে কয়েকটি স্থাপনা, আতঙ্ক ছড়ায় সাধারণ মানুষের মাঝে।</t>
  </si>
  <si>
    <t>যারা নিহত হয়েছে, তারা খ্রিস্টান ধর্মের কারণে হত্যা হয়েছে। ওপেন ডোরসের নথি অনুযায়ী, বর্তমানে বিশ্বে প্রায় ১১ জন খ্রিস্টান প্রতি বছর তাদের ধর্মবিশ্বাসের জন্য মারা যায়।</t>
  </si>
  <si>
    <t>এই দিন বৌদ্ধা পরম শ্রদ্ধায় কাগুজে ফানুস তৈরি করে ধর্মীয় রীতি-নীতি মেনে চুলামনি চৈত্যকে পূজা করার উদ্দেশ্যে আকাশ-প্রদীপ হিসেবে ফানুস বাতি উত্তোলন করে থাকেন।</t>
  </si>
  <si>
    <t>মাদারীপুরের একটি হিন্দু মন্দিরে রাতের অন্ধকারে আগুন ধরিয়ে দেয়া হয়, এতে পুজো সামগ্রী ও মূর্তি ব্যাপকভাবে ক্ষতিগ্রস্ত হয়।</t>
  </si>
  <si>
    <t>রাত সাড়ে ৮টায় মুন্সীবাজার ইউনিয়নের মঈডাইল পূজামণ্ডপের মূর্তি, কামারছড়া চা বাগান পূজামণ্ডপের মূর্তিসহ আরো তিনটি মণ্ডপের মূর্তি ভাঙচুর করা হয়।কুলাউড়া উপজেলায় বিক্ষোভ মিছিল ও ভাঙচুরের ঘটনা ঘটে।</t>
  </si>
  <si>
    <t>বিভিন্ন ধর্মীয় গোষ্ঠীর মধ্যে বিদ্বেষ ছড়িয়ে পড়ার ফলে নিরপরাধ ব্যক্তি প্রাণ হারিয়েছে, যা সামাজিক সম্প্রীতির জন্য হুমকি হয়ে দাঁড়িয়েছে।</t>
  </si>
  <si>
    <t>বাংলার প্রাদেশিক সরকার সুক্ষ ভাবে হিন্দু নির্যাতনে সহায়তা করছে। রিপোর্টে তিনি আরও উল্লেখ করেনঃ মুসলিমরা দল বেধে হিন্দুদের উপর আক্রমণ করে এবং হিন্দুদের মুল্যবান জিনিসপত্র লুট করে নিয়ে যায়।</t>
  </si>
  <si>
    <t>বিক্ষোভ সমাবেশ থেকে সরকারকে জাতীয় সংসদে নিন্দা প্রস্তাব আনার দাবিও জানানো হয়। একইসাথে সুইডেনের রাষ্ট্রদূতকে তলব করে এ বিষয়ে কৈফিয়ত নিতে সরকারের কাছে দাবি করা হয়। সকল বক্তাই কোরআন অবমাননার কঠোর নিন্দা জানিয়ে এ বিষয়ে সরকারকে আরও কঠোর হওয়ার আহ্বান জানান।</t>
  </si>
  <si>
    <t>বান্দরবান জেলায় ধর্মীয় বিদ্বেষের কারণে সংঘর্ষে ৪৪ জন নিহত হন। পুলিশ সহিংসতা রোধে ব্যর্থ হয়, সরকার শান্ত থাকার নির্দেশ দেয়। অনেক পরিবার নিরাপত্তার কারণে গ্রাম ছেড়ে চলে যায়।</t>
  </si>
  <si>
    <t>২০২১ সালের ১৫ অক্টোবর, নোয়াখালীর বেগমগঞ্জে হিন্দুদের উপর হামলা চালানো হয়, একজন পুরোহিতকে হত্যা করা হয় এবং ১৪ জন নিহত হন।</t>
  </si>
  <si>
    <t>২০১৬ সালের ৩০ অক্টোবর ব্রাহ্মণবাড়িয়ায় নাসির নগরে হিন্দুদের বাড়িঘর ও মন্দিরে হামলা হয় রসরাজ নামে এক তরুণের ফেসবুক পোস্টের অজুহাত তুলে৷ কিন্তু তদন্তে জানা যায় রসরাজ এক নিরক্ষর জেলে৷ তার নামে ভুয়া আইডি খোলা হয়েছিলো৷</t>
  </si>
  <si>
    <t>অনেক সময় দেখা যায়, কিছু ধর্মবিশ্বাসীরা নিজেদের ধর্মকে অন্যের চেয়ে শ্রেষ্ঠ ভাবার জন্য ফাঁকা বক্তব্য ছড়ায় যা সাম্প্রদায়িক বিভাজন বাড়ায়।</t>
  </si>
  <si>
    <t>প্রতি মুহুর্তে পৃথিবীতে হাজারো, লাখো মানুষ রোগগ্রস্ত, যন্ত্রণাগ্রস্ত এবং অগণিত মানুষ মৃত্যুবরণ করছে। এমনকি পৃথিবীও পরিবর্তন হচ্ছে। এই জগতে কোনো কিছুই স্থায়ী ও অবিনশ্বর নয়। তাই তথাগত বুদ্ধ বলেছেন, ‘অনিচ্ছা বত- সংখারা, অনিচ্ছা দুক্খ অনত্তা’ অর্থাৎ সংস্কার দুঃখ, সব কিছুর ধ্বংস অনিবার্য। তাহলে পৃথিবীতে এত স্বার্থের দ্বন্দ্ব কীসের? যুদ্ধ কীসের?</t>
  </si>
  <si>
    <t>মুসল্লীদের জায়গা সংকুলান না হওয়ায় ১৯৪৯ সালে প্রতিষ্ঠিত ৭৫ বছরের পুরাতন মসজিদের জমিতে মসজিদের পুননির্মাণ চলছে।</t>
  </si>
  <si>
    <t>ইসলামের অনুসারীদেরকে বলা হয় মুসলমান। ইসলামের মৌলিক বিশ্বাস হল "আল্লাহর একত্বে বিশ্বাসী।"</t>
  </si>
  <si>
    <t>তাকে আদালতে হাজির করে চার দিন রিমান্ড চাইলে দুই দিনের রিমান্ড মঞ্জুর করেন বিচারক। গ্রেফতার ওই যুবকের নাম সুজন কুমার । তার বাড়ি নাটোরের লালপুর উপজেলায়। জানা গেছে, নিজের পরিচয় গোপন করে সুজন কুমার হাসান রুহানি নামে ফেসবুক আইডি খুলে ধর্মীয় উসকানিমূলক মন্তব্য করে আসছিলেন।</t>
  </si>
  <si>
    <t>আসলে ধর্ম সম্পর্কে মানুষের যে ধারণা তৈরি হয়েছে সেটি সম্পূর্ণ ভ্রান্ত। যার ফলে এত সমস্যার সৃষ্টি ধর্ম বিষয়টা ঠিক এরকম নয়। আমরা এখন পর্যন্ত পৃথিবীর যত ধর্ম দেখছি।</t>
  </si>
  <si>
    <t>সেখানে একজন হিন্দুকে আবারো হত্যা করা হয়।সন্ধ্যার মধ্যেই ২৫,০০০ এরও বেশি হিন্দু লক্ষ্মীনারায়ণ কটন মিল চত্বরে জীবন বাঁচাতে জমায়েত হয়।এ সকল আর্ত হিন্দু ২০ জানুয়ারি পর্যন্ত টানা চারদিন একবিন্দু জলও কোন জায়গা থেকে সাহায্য পায়নি।ফলে চার দিন তাদেরকে খাদ্য-পানীয় বিহীন অবস্থায় কাটাতে হয় ।</t>
  </si>
  <si>
    <t>চুয়াডাঙ্গার দামুড়হুদা উপজেলায় পুরাতন একটি বিষ্ণু মন্দিরে ঢুকে দানপাত্র ও মূর্তির মুখ কেটে ফেলে দুর্বৃত্তরা।</t>
  </si>
  <si>
    <t>বিশ্ববিদ্যালয় অসাম্প্রদায়িক জায়গা। এখানে মুসলিমরা কুরআন শিখবে প্রকাশ্যে, সাহরি, ইফতার করবে, নামাজ পড়বে জামাআতে। খেলোয়াড়রা খেলাধূলা করবে।</t>
  </si>
  <si>
    <t>আপনাদের কাছে আমার ধর্ম ও বর্ণ পরিচয়ের দায় আমি স্বীকার করছি। স্বীকার করছি, সংখ্যাগরিষ্ঠতার সুযোগ নিয়ে আমি এবং আমার জাতভাইরা সমস্ত সুযোগ কুক্ষিগত করে রেখেছি বলেই আজ আপনারা উচ্চ শিক্ষা, উচ্চ পদ থেকে বঞ্চিত।</t>
  </si>
  <si>
    <t>কোটালীপাড়া উপজেলায় হিন্দু মেয়েকে জোরপূর্বক তুলে নিয়ে যাওয়ার জন্য দলবেঁধে মুসলমান হিন্দু মেয়ের বাড়িতে জড়ো হয়েছে।</t>
  </si>
  <si>
    <t>২০১৭ সালের সেপ্টেম্বর মাসে এক গোষ্ঠী ধর্মীয় গোষ্ঠীর মধ্যে সংঘর্ষে ২৯ জন নিহত হয়; ব্যাপক ক্ষতি হয়।</t>
  </si>
  <si>
    <t>উখিয়ায় বৌদ্ধ মন্দিরে হামলা ভাঙচুর</t>
  </si>
  <si>
    <t>তারে বলেন আগে হিন্দুদের বলতে পুজা না করে সেই টাকা বিলিয়ে দিতে।</t>
  </si>
  <si>
    <t>হে নবী! তুমি তোমার স্ত্রীদেরকে, তোমার কন্যাদেরকে আর মু’মিনদের নারীদেরকে বলে দাও- তারা যেন তাদের চাদরের কিছু অংশ নিজেদের উপর টেনে দেয় (যখন তারা বাড়ীর বাইরে যায়), এতে তাদেরকে চেনা সহজতর হবে এবং তাদেরকে উত্যক্ত করা হবে না। আল্লাহ অতি ক্ষমাশীল, পরম দয়ালু।</t>
  </si>
  <si>
    <t>ক্ষমা চাইলে কি হবে??? আইন করতে হবে কোন প্রকার ধর্মীয় গ্রন্থ অবমাননা করতে পারবে না , যে কোন ধর্ম নিয়ে কূটুক্তি করা যাবে না । করলে কঠর শাস্তির ব্যবস্থা করতে হবে ।</t>
  </si>
  <si>
    <t>বাংলাদেশের বাইরে হিন্দু ধর্মাবলম্বীদের উপাসনালয়ে বারবার হামলা এবং ধর্মীয় সংখ্যালঘুদের সাংবিধানিক অধিকার হরণ একটি পরিকল্পিত ধর্মীয় নিপীড়ন এবং ভাঙচুরের বহিঃপ্রকাশ।</t>
  </si>
  <si>
    <t>গ্রামের রাজকুমার পালকে মুণ্ডচ্ছেদ করার পর গ্রামবাসীরা আরতীপ্রভা শূররায়কে মুসলিম বানিয়ে বিয়ে দেয়ার জন্য তার পরিবারকে হুমকি দেয় ও তাকে অপহরণ করে নিয়ে আসে।</t>
  </si>
  <si>
    <t>হিন্দু, খ্রিস্টান অথবা ইহুদীদের পবিত্র ধর্মীয় গ্রন্থ যদি এইভাবে পুড়ায় তাহলে তারা কেমন কস্ট পাবে ? ঠিক তেমন কস্ট পাচ্ছি আমরা মুসলিমরা। অন্য ধর্মকে এভাবে ছোট করে অন্য ধর্মের মানুষদেরকে এভাবে কস্ট দিয়ে তারা তাদের ধর্মকে কিভাবে বড় বলবে ?</t>
  </si>
  <si>
    <t>ইসলাম্পুরে একটি মসজিদ এ আজান দেওয়া অবস্থায় বোমা হামলা</t>
  </si>
  <si>
    <t>নরেশ কুমার বলেন, “বুদ্ধের নাম কলুষিত করার পাশাপাশি এহেন ব্রাহ্মণ্য পুনর্জাগরণবাদীরা নিরপরাধ বৌদ্ধদের নিপীড়ন কিংবা এমনকি মেরে ফেলার তাগিদ হিন্দু রাজাদের দিতে থাকেন। বাংলার শৈব ব্রাহ্মণরাজা শশাঙ্ক শেষ বৌদ্ধ সম্রাট হর্ষবর্ধনের বড় ভাই রাজ্যবর্ধনকে ৬০৫ খ্রিষ্টাব্দে হত্যা করেন।</t>
  </si>
  <si>
    <t>ইসলামের মূল ভিত্তি এক্সট্রিম একেশ্বরবাদ; তাই বহুশ্বরবাদী মতবাদ বা অনুষ্ঠান এই ধর্মে কঠোরভাবে নিষিদ্ধ।</t>
  </si>
  <si>
    <t>ইসলামে নারীবাদের কোনো দ্বন্দ্ব নেই; নারীর সামাজিক অংশগ্রহণ স্বীকৃত।</t>
  </si>
  <si>
    <t>"একটা ধর্ম নিরপেক্ষ গণতান্ত্রিক স্বাধীন রাষ্ট্রে প্রকাশ্য দ্বিবালোকে মায়ের সামনে তার তের বছরের শিশু কন্যাকে ধর্ষণ"</t>
  </si>
  <si>
    <t>ফেসবুকে অনেকেই শাইখুল হাদিস বা পুরোহিত পন্ডিত বা ফাদার সাজার চেষ্টা করি কিন্তু বস্তুত ধর্ম নিয়ে আমাদের অনেকেরই জানার পরিধি অনেক সীমিত,</t>
  </si>
  <si>
    <t>কেন একজন ব্যক্তি সনাতন ধর্ম থেকে ইসলাম ধর্ম গ্রহণ করেন? এক পণ্ডিতের বিশ্লেষণ ও আলোচনা – জিতেন্দ্রিয় প্রভুর দাস।</t>
  </si>
  <si>
    <t>বৌদ্ধধর্মের নীতিকথা মূলত সুখী, শান্তিপূর্ণ এবং অর্থবহ জীবন</t>
  </si>
  <si>
    <t>ফ্রান্সে যেদিন একজন শিক্ষককে জবাই করে হত্যার ঘটনা ঘটে, সেদিন ফরাসি প্রেসিডেন্ট বলেছিলেন 'ফ্রান্সের ইতিহাস ও সংস্কৃতি যারা মানতে পারবে তারাই থাকবে। বাক স্বাধীনতার ওপর হামলা যারা করবে তাদের ওপর কঠোর ব্যবস্থা নিচ্ছি'। আমি সেটিকে সমর্থন করে স্ট্যাটাস দিয়েছিলাম ফেসবুকে"।</t>
  </si>
  <si>
    <t>"সহাবস্থানের মাধ্যমে হিন্দু-মুসলিম সম্প্রীতি গড়ে তুলতে হবে, যেখানে সবাই শান্তিপূর্ণভাবে নিজ নিজ ধর্ম পালন করতে পারবে। পরস্পরের ধর্মীয় বিশ্বাসের প্রতি শ্রদ্ধাশীল হয়ে সৌহার্দ্যময় বাংলাদেশ গড়ে তুলতে হবে।"</t>
  </si>
  <si>
    <t>হিন্দু সম্প্রদায়ের অনেকেই অন্য ধর্মাবলম্বীদের প্রতি হিংসাত্মক মনোভাব নিয়ে ধর্মীয় সহনশীলতাকে ক্ষতিগ্রস্ত করে।</t>
  </si>
  <si>
    <t>ভিডিওটি যতবার দেখি ততোবার এক জান্নাতী অনূভুতি পাই। আলহামদুলিল্লাহ্।ধন্যবাদ জ্ঞাপন করছি Baseera টিমের সবাইকে।</t>
  </si>
  <si>
    <t>শুক্রবারে বাসা থেকে ওজু করে এবং বাসায় সুন্নত নামাজ পড়ে তারপর মসজিদে আসার অনুরোধ করছি। মসজিদে জুম্মার নামাজে খোতবা সংক্ষিপ্ত হবে। ফলে সংক্ষিপ্ত সময়ের মধ্যে জুম্মার নামাজ শেষ করবেন।</t>
  </si>
  <si>
    <t>বেনাপল ইসলামপন্থীদের উপর দমনপীড়ন এবং বেনাপল শহরে সরকারবিরোধী মুসলিমদের উপর ব্যাপক দমনপীড়ন চালানো হয়।</t>
  </si>
  <si>
    <t>ধর্মের প্রতি শ্রদ্ধা ও সম্মানই দুনিয়া ও আখিরাতে শান্তি নিয়ে আসে।</t>
  </si>
  <si>
    <t>বাংলাদেশে শাওয়াল মাসের চাঁদ দেখা নিয়ে জাতীয় চাঁদ দেখা কমিটির দুই দফা ঘোষণায় নানারকম মন্তব্য বা স্ট্যাটাসে সরগরম হয়ে উঠেছে ফেসবুক।</t>
  </si>
  <si>
    <t>বাংলাদেশে এক ধর্মীয় পোস্টার দেখে কিছু স্থানীয় মুসলিম প্রতিশোধের শপথ নেয় এবং ১১ই ফেব্রুয়ারি গোবিন্দ পার্কে এক র‍্যালিতে হিন্দুদের রক্তের জন্য হুমকি দেয়।</t>
  </si>
  <si>
    <t>বাঙালি হিন্দুরা প্রায়শই পুজো পার্বণকে ধর্মীয় অনুষ্ঠান হিসেবে না দেখে, বরং একটি সামাজিক উৎসব হিসেবে আনন্দে মেতে ওঠার চর্চা করেছে, যেখানে সামাজিক বন্ধনই বেশি গুরুত্ব পেয়েছে।</t>
  </si>
  <si>
    <t>রাজশাহীতে ধর্মীয় দাঙ্গায় ৪৭ জন নিহত হন। পুলিশ পরিস্থিতি নিয়ন্ত্রণে ব্যর্থ হলেও সরকার শান্ত ও সহিষ্ণুতার বার্তা প্রচার করে। বহু পরিবার নিরাপত্তার অভাবে গ্রাম ত্যাগ করে।</t>
  </si>
  <si>
    <t>চেক রিপাবলিকে এক মুসলিম শিক্ষার্থীকে স্কুলে হিজাব পরার কারণে সহপাঠীরা শারীরিকভাবে লাঞ্ছিত করে।</t>
  </si>
  <si>
    <t>গান্ধীবাদী অশোক গুপ্ত মহাত্মা গান্ধীর সাথে গনহত্যা সংগঠনের এলাকা গুলো পরিদর্শন করে বলেন, কমপক্ষে ২,০০০ হিন্দুকে জোরপূর্বক মুসলমান করা হয়েছে।</t>
  </si>
  <si>
    <t>সাধু মহাপুরুষেরা সবসময় ধর্মের নামে হিংসা বর্জন করার পরামর্শ দিয়েছেন।</t>
  </si>
  <si>
    <t>ধর্মকে যদি আগে গুরুত্ব দিই তাহলে সর্ব প্রথম প্রোপাইল পিকে বেপর্দা ছবি ব্যবহার করা উচিত নয়</t>
  </si>
  <si>
    <t>এক কিশোরকে শিখ পরিচয়ে আক্রমণ করে ধর্মীয় ভিন্নতাকে লক্ষ্য করা হয়, যা বিদ্বেষপ্রসূত ধর্মীয় ভাংচুর ও অসহিষ্ণুতার উদ্বেগজনক নিদর্শন বাংলাদেশসহ বিশ্বজুড়ে।</t>
  </si>
  <si>
    <t>আপনি অন্য ধর্মের একজন মহান ব্যক্তির প্রতি অবজ্ঞাসূচক মন্তব্য করে নিজেকে কী প্রমাণ করতে চাচ্ছেন?</t>
  </si>
  <si>
    <t>২০১৫ সালের ৩১ অক্টোবর, প্রকাশক ফয়সাল আরেফিন দীপনকে ঢাকায় তার অফিসে কুপিয়ে হত্যা করা হয়।</t>
  </si>
  <si>
    <t>২০১৬ সালের জুনে এক গ্রামে ধর্মীয় সংঘর্ষে গরু জবাইয়ের অভিযোগে দাঙ্গা বাঁধে, এতে ২৩ জন নিহত হয়।</t>
  </si>
  <si>
    <t>ধর্মীয় অনুভূতিতে আঘাত দেয়ার অভিযোগে এক শিল্পীর প্রদর্শনীতে হামলা চালিয়ে তাকে মারাত্মক জখম করা হয়; ঘটনার সময় আরও ১৬ জন নিহত হন।</t>
  </si>
  <si>
    <t>ঋগ্বেদ হিন্দু ধর্মের মূল উৎসধারা হিসেবে গুরুত্বপূর্ণ, তাই ধর্মীয় উপলব্ধি ও সত্য অনুসন্ধানের জন্য এর পূর্ণ পাঠ ও বিশ্লেষণ একান্ত প্রয়োজনীয়।</t>
  </si>
  <si>
    <t>মাগুরায় এক ধর্মীয় গোষ্ঠীর হামলায় ২৭ জন নিহত হয়; ব্যাপক ক্ষতি হয়।</t>
  </si>
  <si>
    <t>ওরে বাটপার, আল্লাহর গজব পড়বে তোর ওপর! তুই বলছিস, ইসলাম সেদিন তোর বাড়ি কয়বার তোরই তল্লাশি করতে এসেছিল?</t>
  </si>
  <si>
    <t>১২৩ বছরে বিরল এই ধর্মীয় সমাবেশে আল্লাহর রহমতে পুণ্যার্থীরা একত্রিত হলেও নিরাপত্তা অভাবে কিছু প্রাণহানি ঘটেছে।</t>
  </si>
  <si>
    <t>কিন্তু ইসলাম ধর্ম নিয়ে কাজ করেন এমন বিশেষজ্ঞরা বলেন, ইসলামে নারীকে পুরুষের অধস্তন করা হয়নি। সম্পত্তির উত্তরাধিকার এবং নিজের সম্পর্কে সিদ্ধান্ত নেয়ার অধিকার থেকে নারীকে বঞ্চিত করা হয়নি।</t>
  </si>
  <si>
    <t>আমরা যখন নামাজ পড়ি বা ধ্যান করি, তখন আত্মা শুদ্ধ হয় এবং রাগ কমে যায়।</t>
  </si>
  <si>
    <t>২০১৭ সালের অক্টোবর মাসে এক গোষ্ঠী ধর্মীয় অনুভূতিতে আঘাত দেয়ার অভিযোগে এক শিল্পীর প্রদর্শনীতে হামলা চালিয়ে তাকে মারাত্মক জখম করে, এতে আরও ১৩ জন নিহত হয়।</t>
  </si>
  <si>
    <t>হিন্দু ধর্মে জীবনের সংকটগুলো মোকাবিলা করতে সহনশীলতা এবং আত্মবিশ্বাসের প্রতি বিশেষ গুরুত্ব দেয়া হয়।</t>
  </si>
  <si>
    <t>নবীজি সাল্লাল্লাহু আলাইহি ওয়াসাল্লাম বলেছেন, ‘তোমাদের কেউ যেন কিছুতেই মৃত্যু প্রত্যাশা না করে এবং মৃত্যু আসার আগে তার জন্য দোয়াও না করে। কেননা যখন তোমাদের কেউ মারা যায় তখন তার আমল বন্ধ হয়ে যায়। আর মুমিনের দীর্ঘ জীবন শুধু তার জন্য কল্যাণই বয়ে আনে।</t>
  </si>
  <si>
    <t>ধর্ম নিয়ে প্রশ্ন তুললে সব সম্পর্ক চুকিয়ে দিতে পারেন মনোজ বাজপেয়ী; জানুন শাবানার সঙ্গে তাঁর সফল দাম্পত্যের রহস্য</t>
  </si>
  <si>
    <t>হে ঈমানদারগণ, যেকোনো খবর পেলে তা অনুসন্ধান করো, যেন অজান্তে কারো ক্ষতি না করো এবং পরে লজ্জিত না হও।</t>
  </si>
  <si>
    <t>২০২২ সালে হিন্দুত্ববাদী নেতাদের বিরুদ্ধে মন্তব্যের জেরে কানহাইয়া লাল নামে এক দর্জিকে মুসলিম চরমপন্থীরা হত্যা করে।</t>
  </si>
  <si>
    <t>বোয়ালখালীতে ১১৩ বছরের প্রাচীন শিব মন্দিরে ভাঙচুর, সেবায়েতকে পুড়িয়ে মারার হুমকি সন্ত্রাসীদের</t>
  </si>
  <si>
    <t>শুধু আল্লাহর সন্তুষ্টির জন্য নেক কাজ করতাম। আজ ৫ বছর হয়ে গেল। সেই সময় এই সিরিজটি দেখে যে অনুভূতি হয়েছিল তা কাউকে বোঝাতে পারবো না। এই সিরিজটি যে উপস্থাপন করেছেন, আল্লাহ উনাকে নেক হায়াত দান করুন।</t>
  </si>
  <si>
    <t>বাংলাদেশে হিন্দু ও খ্রিস্টান ধর্মীয় সংখ্যালঘুদের উপর হামলা এবং জোরপূর্বক ধর্মান্তরের ঘটনা ঘটেছে। ১৯৪৭ সালে দেশভাগের পর বাংলাদেশ থেকে হিন্দু ধর্মাবলম্বী শরণার্থীরা দলে দলে দেশত্যাগে বাধ্য হয়।</t>
  </si>
  <si>
    <t>যে ব্যক্তি আল্লাহর নির্দেশনা অনুসরণ করে, তার জীবন সুন্দর এবং সফল হয়, কারণ আল্লাহ তার জীবনে বরকত দেন।</t>
  </si>
  <si>
    <t>আজ আমার ধর্মীয় গ্রন্থের অবমাননার জন্য আমার যতটুকু খারাপ লাগছে, আমি জানি দেশের বিভিন্ন স্থানে আমার হিন্দু বন্ধুদের প্রতিমা ভাংচুরের ঘটনায় একই খারাপ লাগছে তাদেরও ।</t>
  </si>
  <si>
    <t>চাঁদপুরে ধর্মীয় উগ্রতা থেকে সংখ্যালঘু সম্প্রদায়ের উপর হামলায় ৩৫ জন নিহত হন। হামলাকারীরা গৃহহীন পরিবারদের উপদ্রব দিয়ে পালিয়ে যায়। প্রশাসন যথেষ্ট সহায়তা প্রদান করতে ব্যর্থ হয়।</t>
  </si>
  <si>
    <t>অবৈধ দখলদার সংগঠন বাংলাদেশ বৌদ্ধ সমিতি! চট্টগ্রাম নন্দনকানন বৌদ্ধ বিহারে যেভাবে শ্রদ্ধেয় ডক্টর জিনবোধি ভান্তের উপর অবৈধ দখলদার বৌদ্ধ সমিতির নেতারা সন্ত্রাসী হামলা করছে,</t>
  </si>
  <si>
    <t>চট্টগ্রামের ফটিকছড়ি ও মীরেরসরাইয়ের প্রত্যেকটি হিন্দু অধ্যুষিত গ্রাম সম্পূর্ণরূপে পুড়িয়ে দেয়া হয়।পঞ্চাননধাম এবং তুলসীধাম সহ পাঁচটি হিন্দু মন্দির ভাংচুর ও ধ্বংস করে দেয় মুসলিমরা</t>
  </si>
  <si>
    <t>মৃত্যু হচ্ছে চলমান জীবন প্রক্রিয়ার একটি পরিবর্তনীয় অবস্থা। ইসলামী দৃষ্টিকোণ হতে সকল জীবিত প্রাণীর জন্যই মৃত্যু একটি সর্বোচ্চ ভয়াবহ অভিজ্ঞতা।</t>
  </si>
  <si>
    <t>আমার কথা হলো , এই যে ঈদে বাজি ফাটানো, থার্টি ফাস্ট নাইটে ধুমচে গান বাজানো, পূজায় বক্সে গান এগুলো কি চোখে পড়েনা নাকি শুধু ওয়াজ এর সময় চর্বিতচর্বন করতে ভালো লাগে ??</t>
  </si>
  <si>
    <t>আটজন মুসলিম প্রত্যক্ষদর্শী ও প্রায় ১০০ জন হিন্দু হত্যার পর মৃতের সংখ্যা নিয়ে মতভেদ থাকলেও ১২৫ জনের মৃত্যু ঘটে বলে জানা যায়।</t>
  </si>
  <si>
    <t>এই সমকামীতার জন্য মহান আল্লাহ তায়ালা একটা পুরো জাতিকে ধ্বংস করে দিয়েছিলেন আর এরা এগুলা প্রকাশ্যে করার সাহস পায় কিভাবে!</t>
  </si>
  <si>
    <t>গত কয়েকদিন ধরে বাংলাদেশে হিন্দু সম্প্রদায়ের উপর যে পরিমাণ অত্যাচার হচ্ছে তা দেখে মনে হচ্ছে বাংলাদেশে হিন্দু ধর্মাবলম্বীদের জীবনের কোন নিরাপত্তা নেই।</t>
  </si>
  <si>
    <t>বোকা বাঙালি জানে না যে, এর পরিণতি কি? পাশ্ববর্তী যেসব এলাকাকে তীর্থস্থান ঘোষণা করা হয়েছে, তার প্রতিটিকে হিন্দুরা আমিষ খাদ্য বিক্রয় নিষিদ্ধ করেছে।</t>
  </si>
  <si>
    <t>আমরা কারো ধর্ম নিয়ে কখনো কটুক্তি করে ফেসবুকে পোস্ট করি না কিন্তু আমাদের ধর্ম নিয়ে অন্যরা বাজে পোস্ট করে আর এই ধর্ম অবমাননার শাস্তি খুব কঠোর হওয়া উচিত আল্লাহ সর্বশক্তিমান</t>
  </si>
  <si>
    <t>গুরুর মাংস নিষিদ্ধ করা , ভাড়া করা পাত্রে রান্না করার ঘোষণা এগুলি সবি সাম্প্রদায়িক উস্কানি ছাড়া আর কিছু না</t>
  </si>
  <si>
    <t>পাহাড়ের কাছে উগ্র হিন্দুরা মুসলিমদের গরুর গোশতের হোটেল বন্ধ করে দিচ্ছে। এইটা অবশ্যই ইসলামবিদ্বেষী সন্ত্রাস, মুসলিমদের জীবিকা ধ্বংসের হিন্দুত্ববাদী ষড়যন্ত্র।</t>
  </si>
  <si>
    <t>বঙ্গদেশে মুসলমান ধর্মের প্রচলন হয়েছে ১০০০ খ্রিস্টাব্দের পরে। কিন্তু বৌদ্ধ ধর্ম, জৈন ধর্ম, ব্রাহ্মণ্য ধর্ম -ইত্যাদির মধ্যে কোন ধর্ম বাংলায় সবচেয়ে প্রাচীন? বাঙালির ইতিহাসে কোথায় হিন্দু ধর্মের স্থান? হিন্দু ধর্ম কী সনাতন ধর্ম? -এই সব প্রশ্ন নিয়েই আড্ডা হবে আজকের পর্বে।</t>
  </si>
  <si>
    <t>আমরা বাংলাদেশের পক্ষ থেকে স্পষ্ট তীব্র নিন্দ পেলাম না। নিশ্চয়ই আল্লাহতায়ালাই কোরআনের একমাত্র হেফাজত করি।</t>
  </si>
  <si>
    <t>দুর্গাপুজো ও ঈদ দুই ধর্মীয় উৎসব; ২০১৪ থেকে এগুলো রাজনীতির সঙ্গে জড়িয়ে পড়েছে।</t>
  </si>
  <si>
    <t>ধর্মবিরোধী সংঘর্ষে ধর্মীয় অভিবাদন বিভ্রান্তি ও বিভাজন সৃষ্টি করে। হিংসা নয়, শান্তি বজায় রাখা জরুরি।</t>
  </si>
  <si>
    <t>মৌখিক নরমপন্থীর আশ্বাস থাকলেও বিশ্বাস অর্জন কঠিন; ধর্মীয় মানুষরা প্রাণ রক্ষায় পালাচ্ছে, জীবনের মূল্যবান মুহূর্তে কঠিন পরিস্থিতে যেন আল্লাহর সাহায্য কামনা করছে।</t>
  </si>
  <si>
    <t>এই দেশে মন্দির থাকলেই সমস্যা বাড়ে, এসব হিন্দু সংস্কৃতি এখনই বন্ধ করা উচিত।</t>
  </si>
  <si>
    <t>বাংলাদেশ হিন্দু বৌদ্ধ খ্রিস্টান ঐক্য পরিষদ ২০২৪ সালের শেষ সাড়ে চার মাসে সাম্প্রদায়িক সহিংসতায় ২৩ জন নিহত হয়েছে বলে যে তথ্য দিয়েছে তার বিপরীতে প্রধান উপদেষ্টার দপ্তরের বক্তব্যকে সর্বোচ্চ গুরুত্ব দিয়েছে ডয়চে ভেলে বাংলা বিভাগ৷</t>
  </si>
  <si>
    <t>ধর্ম তো শান্তির কথা বলে, তবে এত হিংসা ও নৃশংসতা কেন?</t>
  </si>
  <si>
    <t>আপনাদের মতো কাফিরেরা ততক্ষণ পর্যন্ত শান্ত হয় না যতক্ষণ পর্যন্ত বাশ খেতে খেতে শেষে মুখ দিয়ে বমি না আসে, অপেক্ষা করুন, হয়তো পৃথিবীতে নয়তো মাটির নিচে গিয়ে যেখানেই হোক সত্য ইতিহাস একদিন জানতে পারবেনই, সেদিন হয়তো আক্ষেপ ছাড়া কিচ্ছু থাকবে না,</t>
  </si>
  <si>
    <t>এসব ফানি পোস্টে প্রচুর লাইক,কমেন্ট,শেয়ার এসেছে-ধর্মকে একটু নিচু করে দেখাতে পেরে সবাই বেশ খুশি।</t>
  </si>
  <si>
    <t>ধ্যপ্রাচ্যে ইসলামিক স্টেট (আইএস)-এর ধর্মীয় উগ্রবাদের কারণে বহু সংখ্যালঘু ইয়াজিদি, খ্রিস্টান ও শিয়া মুসলিম গণহত্যার শিকার হয়েছে।</t>
  </si>
  <si>
    <t>দেবতার মূর্তি ভাংগে বলে আনন্দে হাসতি, আজ যখন তোর ধর্মস্থান ভাংছে তখন কেমন লাগছে বল তো?</t>
  </si>
  <si>
    <t>ধর্ম সুরসুড়ি দিয়ে মানুষের মধ্যে বিভাজন করে সহজেই ক্ষমতা থাকা যায়, কোনো উন্নয়ন প্রশ্ন মানুষ করবে না।</t>
  </si>
  <si>
    <t>অ্যাকশন ফোর্স প্রধানমন্ত্রীর কাছে অভিযোগ জানিয়ে জানায়, এটি মন্দির ধ্বংসের পরিকল্পিত ধর্মীয় সহিংসতা; বিভিন্ন হিন্দু সংগঠন এর বিরুদ্ধে তীব্র প্রতিবাদ জানিয়েছে।</t>
  </si>
  <si>
    <t>সুন্নি ও শিয়া মুসলিমরা মধ্য শাবানকে ক্ষমা ও মুক্তির রাত হিসেবে পালন করে, এবং ইমাম শাফিয়ী, ইমাম নওয়াবী, ইমাম গাজ্জালী ও ইমাম সুয়ুতির মতো পণ্ডিতরা এই রাতে প্রার্থনা গ্রহণযোগ্য বলেছেন।</t>
  </si>
  <si>
    <t>রমজান মাসে কিছু লিখতে ইচ্ছে করে না,এমনিতেই চারিদিকে যা অবস্থা শুরু হইছে,ধর্ম, নিত্য প্রয়োজনীয় পণ্য এসব নিয়ে,তাতে নিজের ঈমান-আমল ঠিক রেখে ভালো ভাবে চলাটা কস্টকর হয়ে যাচ্ছে দিন দিন।</t>
  </si>
  <si>
    <t>আপনারা হিন্দু-মুসলমান সম্প্রীতির জন্য ‘প্রতিবেশীকে চিনুন’-এর মতো উদ্যোগের কথা ভাবেন, গল্পের মাধ্যমে ইতিহাসের নিরপেক্ষ প্রচারের জন্য ‘কিস্সাওয়ালা’ কর্মসূচি পালন করেন, পুত্রের মরদেহের সামনে দাঁড়িয়ে শান্তির আহ্বান জানান। আর আমরা হিন্দু উচ্চ বর্ণের নাগরিকরা আপনাদের এই উদ্যোগে নিজেদের নাম জুড়ে দিয়ে সহানুভূতি এবং একতার বার্তা পৌঁছাই, ইমাম রশিদি!</t>
  </si>
  <si>
    <t>আমাদের পার্বত্য চট্টগ্রামে প্রায়শই দেখা যায় বিভিন্ন সময়ে বিভিন্ন ইস্যুতে সাম্প্রদায়িক মনোভাব এবং তার ভিতরকার রূপ ছেড়ে বাইরে এসে সৃষ্টি করেছে মারামারি-খুনোখুনি’র মত অস্বাভাবিক পরিস্থিতি, যাকে সোজা কথায় আমরা দাঙ্গা বলে চিহ্নিত করে থাকি।</t>
  </si>
  <si>
    <t>সকলকে জানাই শারদীয় দুর্গা পুজার প্রাণঢালা শুভেচ্ছা ও অভিনন্দন। অনেক অনেক আনন্দে ভরে উঠুক আপনাদের প্রতিটি প্রহর।</t>
  </si>
  <si>
    <t>২০০৮ সালের পর থেকে শুরু করে আজ পর্যন্ত বাংলাদেশে ধারাবাহিকভাবে সাম্প্রদায়িক সহিংসতা ঘটছে, হিন্দুদের সম্পত্তি দখল হয়েছে।</t>
  </si>
  <si>
    <t>ইসলামিক স্টেটের অনুগত বিদ্রোহীরা মারাউই শহরে ব্যাপক ধ্বংসযজ্ঞ চালায়, যেখানে হাজারো মানুষ নিহত হয়।</t>
  </si>
  <si>
    <t>ইমাম নওয়াবী তাঁর মাজমুতে (আইনি বিধানের একটি বিস্তৃত সংকলন) ইমাম আল-শাফিঈর কিতাবুল-উম্ম (আইনশাস্ত্রের উপর তাঁর মৌলিক রচনা) থেকে উদ্ধৃতি দিয়েছেন যে, পাঁচটি রাত রয়েছে যখন দু'আ (প্রার্থনা) কবুল করা হয়, যার মধ্যে একটি হল ১৫ই শা'বানের রাত।</t>
  </si>
  <si>
    <t>চাঁদপুরে মনসা পূজার আগের রাতে প্রতিমার মাথা ও হাত গুঁড়িয়ে দেয় দুর্বৃত্তরা।</t>
  </si>
  <si>
    <t>তারা নিয়মতান্ত্রিকভাবে হিন্দুদের সাথে দুর্ব্যবহার করে। তাদের কষ্ট দেয়, অপহরণ করে, হয়রানি করে, ভয় দেখায়, ব্যথা দেয়,ধর্মা‌নুভূতিতে আঘাতের মিথ্যা অভিযোগে কারাবাস করায়।</t>
  </si>
  <si>
    <t>২০২১ সালের ফেব্রুয়ারিতে এক মুসলিম যুবককে তার ধর্মত্যাগের অভিযোগে প্রকাশ্যে কুপিয়ে হত্যা করা হয়, ঘটনার প্রতিবাদে আরও ১৭ জন নিহত হন।</t>
  </si>
  <si>
    <t>অষ্টমীর দিন থেকে আজ পর্যন্ত যতগুলো জায়গায় সনাতন ধর্মাবলম্বীদের বাড়ি ,ঘর, মঠ ,মন্দির ,ব্যবসা প্রতিষ্ঠার আক্রান্ত হয়েছে প্রায় প্রতিটি জায়গার খররই আপনারা দিয়েছেন৷</t>
  </si>
  <si>
    <t>২০১৭ সালের সেপ্টেম্বর মাসে এক গোষ্ঠী ধর্মীয় উগ্রবাদীরা মেয়েদের খেলাধুলা নিষিদ্ধ করে; যারা খেলতে যায় তাদের উপর সহিংসতা চালিয়ে ১৫ জন নিহত করে।</t>
  </si>
  <si>
    <t>কিশোরগঞ্জে এক গোষ্ঠী ধর্মীয় গোষ্ঠীর বিরুদ্ধে বিক্ষোভ চলাকালে ২৫ জন নিহত হয়।</t>
  </si>
  <si>
    <t>মুসলিম সম্প্রদায়ের মধ্যে কিছু ধর্মীয় উগ্রবাদী তাদের মতাদর্শ ছড়িয়ে দিয়ে সমাজে দ্বন্দ্ব ও দাঙ্গার সৃষ্টি করছে যা দেশকে ক্ষতির দিকে নিয়ে যাচ্ছে।</t>
  </si>
  <si>
    <t>আপনি যদি ইসলাম ও বিজ্ঞান কে পরস্পর বিরোধী ভাবেন তবে হয় আপনি ইসলাম সম্পর্কে কম জ্ঞান রাখেন নয়ত বিজ্ঞান সম্পর্কে কম জ্ঞান রাখেন।</t>
  </si>
  <si>
    <t>ধর্মব্যবসায়ী মোল্লারা দেশ ধ্বংসে ব্যস্ত, আর রাজনৈতিক ধর্মপন্থীরা ধর্মের নামেই তাদের রক্ষা করে, এটাই আসল বিপদ।</t>
  </si>
  <si>
    <t>বগুড়ার গোকুল ইউনিয়নে নির্মীয়মাণ মন্দিরের ভেতরে ঢুকে মূর্তি তৈরি সামগ্রী ভেঙে ফেলা হয়।</t>
  </si>
  <si>
    <t>মুসলিম সন্তানদের এক হওয়া খুব জরুরি। নামে মুসলিম নয় কাজে ও মুসলিমের পরিচয় দিতে হবে।</t>
  </si>
  <si>
    <t>বাংলাদেশে ইসলাম নিয়ে মানুষের আবেগ প্রবল, ধর্মীয় অনুভূতিকে কেন্দ্র করে সম্পর্কের বড় অবনতি এখনো আশঙ্কাজনক নয়।</t>
  </si>
  <si>
    <t>কুরআন অবমাননার অভিযোগে ২০২১ সালের ১৩ই অক্টোবর বুধবার সকালে প্রথমে কুমিল্লার নানুয়া দীঘির পাড়ের পূজামণ্ডপে হামলা চালানো হয়। এরপর আরও বেশকিছু পূজামণ্ডপে হামলা করা হয়।</t>
  </si>
  <si>
    <t>পাবনায় ধর্মীয় অশান্তিতে সংঘর্ষে ৪৫ জন নিহত হন। পুলিশ সহিংসতা দমনে ব্যর্থ হলেও সরকার শান্ত ও ধর্মীয় দায়িত্ববোধ বজায় রাখার নির্দেশ দেয়। বহু পরিবার নিরাপত্তার কারণে গ্রাম ত্যাগ করে।</t>
  </si>
  <si>
    <t>দুঃখের সময়ে ঈশ্বরকে স্মরণ করলেই মানসিক শক্তি বৃদ্ধি পায়।</t>
  </si>
  <si>
    <t>গে-ইজম যদি ন্যাচারালই হতো,তাহলে এর মাধ্যমে দুনিয়ার সবচেয়ে ন্যাচারাল কাজ 'সন্তান জন্ম দেওয়া', আরেকটা প্রানকে দুনিয়ার বুকে আনা যেত!</t>
  </si>
  <si>
    <t>যারা কুরআন পোড়ায়, তারা মানবতার শত্রু এরা ইসলাম বিদ্বেষী পশু, সভ্যতা এদের জন্য নয়।</t>
  </si>
  <si>
    <t>নাটোর জেলার সুকাশ ইউনিয়নের বোয়ালিয়া গ্রামের হিন্দুদের হুমকি দেওয়া হয়, যায়ে তারা ভোট দিতে না যায়। তা সত্বেও তিনজন হিন্দু ৫ জানুয়ারী ভোট দিতে যান। নির্বাচনের পরে তাদের ঘরে অগ্নিসংযোগ করা হয়।</t>
  </si>
  <si>
    <t>কথার আগা গুড়া কিছু নাই ।পাগলের মতো কথা বলছে।মাথা নষ্ট। ডাক্তার দেখানো দরকার।</t>
  </si>
  <si>
    <t>এক পর্যায়ে ১৬ অক্টোবর রংপুরের পীরগঞ্জ উপজেলায় ফেসবুকে কা’বা শরীফের ছবিতে ‘আপত্তিকর মন্তব্যের’ অভিযোগ এনে তিনটি গ্রামে হামলা, ভাঙচুর, লুটপাট করা হয়।</t>
  </si>
  <si>
    <t>বাংলাদেশে মুসলিম সংখ্যাগরিষ্ঠ হলেও, সেক্যুলারিজমের প্রভাব রয়েছে, যেখানে সরকার ও প্রশাসন কিছু সীমাবদ্ধতার মধ্যে থেকে কাজ করে।</t>
  </si>
  <si>
    <t>ধর্মীয় মতভেদের কারণে সংঘর্ষে বহু জীবন ঝরে গেছে, যা সহিংসতার এক করুণ উদাহরণ হয়ে দাঁড়িয়েছে।</t>
  </si>
  <si>
    <t>তাসকিনের স্ত্রী যদি ওয়েস্টার্ন পোশাক পরতো, সেক্যুদের সমালোচনা হত; যেমন সাকিবের স্ত্রীর ব্যাপারেও। এদের স্বভাবই এমন, পাত্তা না দেওয়াই ভালো।</t>
  </si>
  <si>
    <t>১৯৮৭ সালের ২২ শে মে, উত্তর প্রদেশ রাজ্যের মিরাট শহরে হিন্দু-মুসলিম দাঙ্গার সময় হাশিমপুরা গণহত্যা ঘটেছিল, যখন প্রাদেশিক সশস্ত্র কনস্টাবুলারি (পিএসি) -এর ১৯ জন সদস্যকে হাশিমপুরা মহল্লা ( লোকাল ) থেকে ৪২ জন মুসলিম যুবককে আটক করা হয়েছিল বলে অভিযোগ পাওয়া গেছে।</t>
  </si>
  <si>
    <t>যারা ইসলামকে গালি দেয় তাদের রাস্তায় টেনে এনে শাস্তি দিতে হবে, আইন সবসময় মুসলমানদের সুরক্ষা দিতে ব্যর্থ।</t>
  </si>
  <si>
    <t>ধর্মীয় বিদ্বেষে চালানো নৃশংস আক্রমণে মৃতদের মধ্যে বিভিন্ন ধর্মের মানুষ ছিলেন। ধর্মীয় আক্রোশে আরও অনেকের প্রাণহানী হয়েছে যাদেরকে ভয়ঙ্কর কষ্ট দিয়ে মারা হয়েছে শুধু মাত্র ভিন্ন ধর্ম গোষ্ঠী বলে।</t>
  </si>
  <si>
    <t>২০২১ সালের জানুয়ারিতে এক গোষ্ঠী ধর্মীয় গোষ্ঠী সংখ্যালঘুদের উপর কর চাপিয়ে দেয়; দিতে না পারলে বাড়িঘর পুড়িয়ে দেয়; এতে ২৫ জন প্রাণ হারায়।</t>
  </si>
  <si>
    <t>বাংলাদেশের এক খতিব ধর্ম অবমাননার অভিযোগ তোলার পর সামাজিক যোগাযোগ মাধ্যম ফেসবুক ও ইউটিউব থেকে সরিয়ে নেওয়া হয়েছে বাংলাদেশের নির্মাণাধীন সিনেমা 'কমান্ডো'র টিজার।</t>
  </si>
  <si>
    <t>আক্রমণকারীরা বাড়িঘর জ্বালিয়ে দিতে পেট্রোল ব্যবহার করত। প্রত্যন্ত দ্বীপ সন্দ্বীপে মোটর গাড়ি বা পেট্রল ছিল না তাই হিন্দুদের বাড়িঘর পোড়ানোর জন্য মূল ভূখণ্ড থেকে পেট্রোল নিয়ে আসা হত।</t>
  </si>
  <si>
    <t>আমাদের রমজান মাস এ এই কাফের কে দেখা গেলো নাওজিবিল্লা আল্লাহ তোমাকে হেদায়েত দান করুক আমিন</t>
  </si>
  <si>
    <t>ঈদের পবিত্র দিনে কিশোরগঞ্জে জামাতের কাছে পুলিশকে লক্ষ্য করে ধর্মীয় উগ্রবাদীরা বোমা হামলা চালায়, যা নিরীহ মানুষের প্রাণ নেয় এবং ধর্মের নামে সন্ত্রাসের দৃষ্টান্ত স্থাপন করে।</t>
  </si>
  <si>
    <t>ধর্মীয় বিরোধের জেরে এক পঞ্চায়েতে গরু জবাই করার অভিযোগে দাঙ্গা বাঁধে, ২৩ জন নিহত হয়।</t>
  </si>
  <si>
    <t>আল্লাহর প্রকৃত স্বরূপ তাদের ধারণায় খুব পরিষ্কার ছিল না। তাদের ধারণা ছিলো যে, আল্লাহর আরও সঙ্গী-সাথী আছে, যাদেরকে তারা অধীনস্থ দেবতা হিসেবে পূজা করতো।</t>
  </si>
  <si>
    <t>এক দল নাস্তিকের বাচ্চারা আমাদের আল কুরআন নিয়ে কি করেছিলো, শুধু মাএ রাজনৈতিক জন্য, হিন্দু ভাইরা তখন নিস্পাপ ছিলো।</t>
  </si>
  <si>
    <t>আর ক্যামেরার সামনে মুন্না ধর্মের বাণী যদি দেয় ই, তাহলে আপনি ওর স্ট্যান্ডআপ কমেডি দেখেন নাই। ও কিভাবে কুসংস্কার গুলা তুলে ধরে। যার পোস্ট শেয়ার দিছেন, আপনিও তার মতই।</t>
  </si>
  <si>
    <t>নড়াইলে জমি সংক্রান্ত বিরোধকে কেন্দ্র করে হিন্দু পরিবারের মন্দির গুঁড়িয়ে দেয় প্রতিপক্ষ, ধর্মীয় উত্তেজনা ছড়ায়।</t>
  </si>
  <si>
    <t>তাদের স্বার্থ হাসিল করার জন্য অতীতে এধরনের পোস্ট করে হিন্দু মুসলিম সম্প্রদায়ের মধ্যে বিভেদ সৃষ্টি করে দাঙ্গা লাগিয়ে তাদের স্বার্থ হাসিল করেছে বর্তমানেও তা অব্যাহত রেখেছে তাই আসুন সবাই আমরা নিজ নিজ অবস্থান থেকে এদের চিন্হীত করে হয় গনধোলাই দেয় আর না হয় আইনশৃঙ্খলা বাহিনীর হাতে তুলে দেয়</t>
  </si>
  <si>
    <t>পবিত্র ইসলাম ধর্ম নিয়ে উগ্রবাদী মনোভাবে ভিত্তিহীন পোস্ট করার অভিযোগে অভিযুক্ত সোশ্যাল মাধ্যম অপসারণ।</t>
  </si>
  <si>
    <t>কুমিল্লায় পূজামণ্ডপে কুরআন রাখার ঘটনা তদন্তের জন্য কমিটি গঠন করা হয়। ফেসবুকে লাইভ ভিডিও ছড়ানোর জন্য দুইজনকে পুলিশ গ্রেফতার করেছে।</t>
  </si>
  <si>
    <t>প্রসঙ্গত, গত ৩০ জানুয়ারি সংবাদ সম্মেলন করে হিন্দু বৌদ্ধ খ্রিস্টান ঐক্য পরিষদ জানায়, সারাদেশে সাম্প্রদায়িক সহিংসতায় সংখ্যালঘু সম্প্রদায়ের ২৩ জন মানুষ নিহত হন৷</t>
  </si>
  <si>
    <t>আল্লাহর আদেশ মেনে চলার ফলে আমাদের দুনিয়ায় সফলতা ও আখিরাতে জান্নাত লাভের পথ খুলে যায়।</t>
  </si>
  <si>
    <t>পাবনায় ধর্মীয় দাঙ্গায় ৩৭ জন নিহত এবং বহু বাড়িঘর পুড়িয়ে ফেলা হয়। পুলিশ শান্তি প্রতিষ্ঠার চেষ্টা করলেও সহিংসতা ছড়িয়ে পড়ে, বহু পরিবার আশ্রয়হীন হয়।</t>
  </si>
  <si>
    <t>১৫২৭ সালে একটি পুরানো রাম মন্দির ভেঙে ফেলা হয় এবং ১৫২৮ সালে এটি সম্রাট বাবর দ্বারা নির্মিত হয়।[১] এটি আঠারো শতক থেকেই হিন্দু ও মুসলিম সম্প্রদায়ের মধ্যে বিরোধের কেন্দ্রবিন্দু হয়ে দাঁড়িয়েছিল, যা অযোধ্যা বিবাদ নামে পরিচিত।</t>
  </si>
  <si>
    <t>যে যেভাবে মৃত্যু বরণ করবে কিয়ামত পযন্ত তার সেই আযাব হতে থাকবে !</t>
  </si>
  <si>
    <t>প্রায়ই পথিমধ্যে হিন্দুদের বাজার করে আনা মালামাল লুট করে নিয়ে যায় মুসলিমরা। হিন্দুদের নারকেল, সুপারি বাগান থেকে তারা জোর করে নারকেল সুপারি নিয়ে যায়।</t>
  </si>
  <si>
    <t>২০১৫ সালের জুন মাসে এক ধর্মীয় গোষ্ঠী ধর্মীয় বই বিতরণকারীদের ওপর হামলা চালিয়ে ২০ জন প্রাণ হারায়।</t>
  </si>
  <si>
    <t>এক উগ্র ধর্মবিদ্বেষী বন্দুকধারী একটি উপাসনালয়ে হামলা চালিয়ে দুজনকে হত্যা করে, নিজেরও প্রাণ দেয় এবং এর ফলে দেশে ধর্মীয় ঘৃণার ভয়াবহতা আরও স্পষ্টভাবে প্রকাশ পায়।</t>
  </si>
  <si>
    <t>জানুয়ারির ১৪ ও ১৫ তারিখে চট্টগ্রাম ও সিরাজগঞ্জ থেকে আগত ঢাকাগামী ট্রেনের হিন্দু যাত্রীদেরকে টঙ্গী ও তেজগাঁও নেমে যেতে বলে মুসলিম গুণ্ডারা।</t>
  </si>
  <si>
    <t>নেতারা অনবরত হিংসাত্মক বক্তব্য এবং যখন তখন তুচ্ছ বিষয়কে কেন্দ্র করে মুসলমানদের উপর সংঘবদ্ধ হামলা করে</t>
  </si>
  <si>
    <t>নোয়াখালী কাছ থেকে স্বাধীনতা পেলেও ব্রাহ্মণবাড়িয়ায় কাছ থেকে আমরা স্বাধীনতা পাইনি।</t>
  </si>
  <si>
    <t>রাইপুর থানার অন্তর্গত শায়েস্তাগঞ্জের চিত্তরঞ্জন দত্ত রায়চৌধুরীর বাড়িতে একদল মুসলিম হামলা করে। তিনি তার পরিবারের সকল সদস্যদেরকে বাড়ির ছাদে তুলে দেন এবং নিজে ছাদ থেকে রাইফেল দিয়ে গুলি করে আত্মরক্ষার সর্বাত্মক প্রচেষ্টা করেন; কিন্তু আক্রমণ কারীদের সংখ্যা ছিল অনেক বেশি অপরদিকে তার গোলাবারুদ প্রায় শেষ হয়ে গিয়েছিল।</t>
  </si>
  <si>
    <t>পুলিশ সদর দপ্তর জানিয়েছে ভোলার বোরহানউদ্দিনের ঘটনার জন্য যে দুজন দায়ী তাদের শণাক্ত করা হয়েছে তারাই বিপ্লব চন্দ্র বৈদ্যের অ্যাকাউন্ট হ্যাক করে ম্যাসেঞ্জারে নবী অবমাননাকর বার্তা দিয়েছে</t>
  </si>
  <si>
    <t>বগুড়ায় মন্দিরের তালা ভেঙ্গে মূর্তি ভাঙচুর, মালামাল চুরি</t>
  </si>
  <si>
    <t>৮ ডিসেম্বরে কক্সবাজার জেলার কুতুবদিয়া উপজেলার হিন্দুরা আক্রান্ত হয়।১৪ টি হিন্দু মন্দির লুটপাট,অগ্নিসংযোগ ও ধ্বংসের শিকার হয়। ৫১ টি হিন্দু বাড়ি ধ্বংস করা হয় আলী আকবর ডালে ও ৩০ টি ধ্বংস করা হয় চৌফলদানিতে।</t>
  </si>
  <si>
    <t>বান্দরবানে বৌদ্ধ বিহারে ঢুকে প্রার্থনার স্থানে রাখা ধাতব বুদ্ধমূর্তিতে হাতুড়ি দিয়ে হামলা চালানো হয়।</t>
  </si>
  <si>
    <t>ঘটনার সূচনা পয়েন্টটি ছিল গোদরা ট্রেন পোড়ানো যা মুসলমানরা করেছিল বলে অভিযোগ ছিল। [৭৬] এই ঘটনার সময়, অল্প বয়সী মেয়েদের যৌন নির্যাতন করা হয়েছিল, পোড়ানো বা কুপিয়ে হত্যা করা হয়েছিল।</t>
  </si>
  <si>
    <t>উম্মতে মুহাম্মাদিকে হাজার মাসের ইবাদত-বন্দেগি ও আমলের সাওয়াব দান করা হবে। কুরআনুল কারিমের অন্য স্থানে এ রাতটিকে বরকতময় রাত বলে উল্লেখ করা</t>
  </si>
  <si>
    <t>প্রবারণা শব্দের পালি আভিধানিক অর্থ নিমন্ত্রণ, আহ্বান, ত্যাগ, সমাপ্তি, বর্ষাবাস ত্যাগ, শিষ্টাচার, প্রায়শ্চিত্ত এবং ক্ষতিপূরণ ইত্যাদি, যা ধর্মীয় আচরণ ও বিধির সঙ্গে সম্পর্কিত।</t>
  </si>
  <si>
    <t>নোয়াখালীতে দাঙ্গা বন্ধ হওয়ার পরে, মুসলিম লীগ দাবি করেছিল যে এই সংঘর্ষে কেবল ৫০০ হিন্দু মারা গিয়েছিল, কিন্তু বেঁচে থাকা ব্যক্তিরা মনে করেন যে ৫০,০০০ এরও বেশি হিন্দু নিহত হয়েছিল। কেউ কেউ দাবি করেন এর ফলে নোয়াখালীতে হিন্দু জনসংখ্যা প্রায় ধ্বংস হয়ে গিয়েছিল।</t>
  </si>
  <si>
    <t>মৃত মানুষের পোস্ট মর্টেম করে বয়স নির্ধারণ করা যায়। জেন্ডার নির্ধারণ করা যায়।</t>
  </si>
  <si>
    <t>মধ্যদিগন্তিয়া প্রজাতন্ত্রে খ্রিস্টান মিলিশিয়া (Anti-Balaka) ও মুসলিম সশস্ত্র গোষ্ঠীর (Séléka) মধ্যে রক্তক্ষয়ী সংঘর্ষ চলে, যেখানে হাজার হাজার মানুষ হত্যা হয়েছেন।</t>
  </si>
  <si>
    <t>শেষ নিঃশ্বাসে ঈমান থাকল কি না— মৃত্যুর পর সেটাই হবে একমাত্র প্রশ্ন।</t>
  </si>
  <si>
    <t>নোয়াখালীতে হিন্দু-মুসলিম দাঙ্গা বাংলাদেশে ইংরেজ শাসনে মুসলিমদের বঞ্চনা ও ঢাকায় মুসলিম হত্যার প্রতিক্রিয়ায় ঘটে। গুজব ছিল, রামগঞ্জে এক হিন্দু জমিদার মুসলিম শিশুকে বলি দিচ্ছেন।</t>
  </si>
  <si>
    <t>নবী (স.) আত্মহত্যাকারীর জানাজা আদায় না করার মাধ্যমে আত্মহত্যার গুরুতর পাপ olduğunu নির্দেশ দিয়েছেন, কারণ আত্মহত্যা ইহকাল ও পরকালের উভয় কষ্টের কারণ।</t>
  </si>
  <si>
    <t>মুসলিমদের জন্য নামাজ ও পর্দা ফরজ। মৃত্যুর পর বেপর্দা প্রোফাইল ছবি রাখলে গুনাহ লেখা থাকবে।</t>
  </si>
  <si>
    <t>মুসলিমগণ যদি অন্য ধর্মের প্রতি শ্রদ্ধাশীল না হতো, তবে বাংলাদেশে একটা হিন্দুর বাচ্চাও সুখে শান্তিতে বসবাস করতে পারতোনা।।</t>
  </si>
  <si>
    <t>আমাদের নিশ্চিত মনে রাখা উচিত ধর্ম কোন ব্যবসার পণ্য নয়। কিন্তু আমরা বোকার মত ধর্ম টাকে ব্যবসার পণ্য বানিয়ে ফেলেছি আর এই ভাবাটা নিছক বোকামি।</t>
  </si>
  <si>
    <t>যদিও এটা এখন মুসলিম দেশ, বৌদ্ধ জাতি ইতিহাস ও সংস্কৃতিতে ছোট কোন খেলোয়াড় নয়। বাংলাদেশের বৌদ্ধধর্মের অধিকাংশ অনুসারী চট্টগ্রাম বিভাগে বাস করে।</t>
  </si>
  <si>
    <t>আমার বাসার পাশে যে কীর্তনে হামলা হইল! তখন তো কেউ মুখ খুলল না? তখন মুখ খুলেন না কেন?</t>
  </si>
  <si>
    <t>রক্তাক্ত বাংলাদেশ" – হে আল্লাহ, আমাদের ক্ষমা করুন এবং বাংলাদেশের মুসলিমদের রক্ষা ও নেতৃত্ব দেওয়ার জন্য একজন সালাহউদ্দিন পাঠান। আমিন।</t>
  </si>
  <si>
    <t>ধর্মীয় পরিচয়ের কারণে এক মুসলিম দম্পতিকে ট্রেনে ফেলে হত্যা করা হয়, তাদের শিশু সন্তান কাঁদতে কাঁদতে নিথর পড়ে থাকে। মোট নিহত: ২ জন।</t>
  </si>
  <si>
    <t>মুসলমান নাম নিয়ে কিছু নাস্তিকেরা এই হামলা চালিয়ে ছিলো, এর জন্য কখন হিন্দু ধর্মের কেউ দায়ি ছিলো না।</t>
  </si>
  <si>
    <t>রোজার শেষ দিকে বাংলাদেশের কওমী মাদ্রাসাগুলোতে এক করুন দৃশ্য দেখা যায়।</t>
  </si>
  <si>
    <t>ধর্মে যেমন সত্য ও ন্যায়ের অনুসন্ধান করা হয়, তেমনি এটি মানুষের মধ্যে সহিষ্ণুতা ও আন্তরিকতার ভাবনা জাগিয়ে তোলে, যেখানে কোনো ধরনের সংঘর্ষ বা শত্রুতা তৈরি করার কোনো উদ্দেশ্য নেই।</t>
  </si>
  <si>
    <t>একটি গোষ্ঠী ধর্মকে নিয়ে রাজনীতি করে, তবে আমরা ধর্ম ব্যবসায়ী না, আওয়ামী লীগ ধর্মকে নিয়ে রাজনীতি করে না। ধর্ম যার যার রাষ্ট্র সবার।</t>
  </si>
  <si>
    <t>অন্য ধর্ম অবমাননার বেলায় কেন শিথিলতা? এটা কি একটি স্বাধীন রাষ্ট্রের আইন?</t>
  </si>
  <si>
    <t>হিন্দু ধর্মে নানা দেব-দেবীর পূজা করা হয়, কিন্তু সবকিছুর মধ্যে শান্তি এবং প্রেমের বার্তা রয়েছে।</t>
  </si>
  <si>
    <t>নবীজীর অপমান সইতে না পেরে! নবীর দুশমনকে প্রানে শেষ করে ফাঁ*সির দড়িতে শহীদ হওয়া! কে ছিলেন ইলমুদ্দিন?</t>
  </si>
  <si>
    <t>জামালপুরে ধর্মীয় সংঘর্ষে ৪৩ জন নিহত হন। পুলিশ সহিংসতা দমনে চেষ্টাকরলেও পরিস্থিতি নিয়ন্ত্রণের বাইরে চলে যায়। অনেক পরিবার পালিয়ে যায়।</t>
  </si>
  <si>
    <t>ভালোবাসি সকল ধর্মকে।অন্য ধর্মকে শ্রদ্ধা করলে নিজের ধর্ম ছোট হয়ে যায় না বা অপমানিত হয় না।</t>
  </si>
  <si>
    <t>বাংলাদেশের সব শিক্ষা প্রতিষ্ঠানে প্রতিবছর কুরআন তেলাওয়াত ও মাহফিল আয়োজন করার জন্য কোন মুসলিম নেতার উদ্যোগ নেই?</t>
  </si>
  <si>
    <t>ইসলামভিত্তিক সংগঠন জামায়াত-ই-ইসলামি হিন্দের জ্যেষ্ঠ নেতা মালিক আসলাম বলেছেন, কেউ যখন ইসলাম নিয়ে সমালোচনা ও হেয় মন্তব্য করেন, তখন প্রত্যেক মুসলমানের ঐক্যবদ্ধ থাকা প্রয়োজন। একই সঙ্গে এ ধরনের সংকটময় মুহূর্তে শান্তি বজায় রাখাও দরকার।</t>
  </si>
  <si>
    <t>"এটা একেবারে নতুন সংযোজন পশ্চিমবাংলার রাজনীতিতে। প্রত্যক্ষ আর আগ্রাসী ধর্মীয় রাজনীতি আগে কখনও দেখি নি। এটার মূল কিন্তু ভোট ব্যাঙ্কের রাজনীতিতে লুকিয়ে আছে। মুসলমানরা একটা ভোট ব্যাঙ্ক, আবার হিন্দুরা আরেকটা ভোট ব্যাঙ্ক</t>
  </si>
  <si>
    <t>হিন্দুদের বাড়িঘর লুটপাট ও ধ্বংস করা হয়, গ্রামবাসী লাঞ্ছিত ও হত্যা করা হয়, এবং কিছু মেয়েকে পুলিশ ধর্ষণ করে। পরে বরিশালের ভাণ্ডারিয়া গ্রামের হিন্দুরাও আক্রান্ত হয়।</t>
  </si>
  <si>
    <t>ক্রস-কালচারাল পরিবেশে মেশার অভিজ্ঞতার অভাবে শুধুমাত্র ইন্টারনেট-এ ডিজিটাল মাল্টি কালচারাল ইসলামিক জীবন দেখে তরুণরা গোলক ধাঁধায় পড়ে গেছে। মৌলবাদী ধার্মিক, মডারেট ধার্মিক, সাম্যবাদী ধার্মিক, কিংবা নারীবাদী ধার্মিকদের মত ও আদর্শের ভাষা আমাদের সাধারণ জনতা বোঝে না ।</t>
  </si>
  <si>
    <t>হিন্দু সম্প্রদায়ের মধ্যে কিছু উগ্রপন্থী ধর্মীয় উগ্রতা ছড়িয়ে দিয়ে অন্য ধর্মাবলম্বীদের প্রতি বিদ্বেষমূলক মনোভাব সৃষ্টি করে।</t>
  </si>
  <si>
    <t>২০২০ সালের মার্চে এক গোষ্ঠী ধর্মীয় অনুভূতিতে আঘাত দেওয়ার অভিযোগে একজন শিল্পীকে প্রকাশ্যে পেটানো হয়; সংঘর্ষে ১৯ জন নিহত হন।</t>
  </si>
  <si>
    <t>মুসলিম সম্প্রদায়ের উগ্র গোষ্ঠী ধর্মীয় উগ্রতা ছড়িয়ে অন্য ধর্মাবলম্বীদের বিরুদ্ধে বিদ্বেষমূলক মনোভাব তৈরি করছে।</t>
  </si>
  <si>
    <t>নড়াইলেই গত ১৭ জুন মির্জাপুর ইউনাইটেড ডিগ্রি কলেজের ভারপ্রাপ্ত অধ্যক্ষ স্বপন কুমার বিশ্বাসের গলায় জুতার মালা পরানো হয় ডিসি, এসপি ও সরকার দলীয় নেতাদের সামনে ধর্ম অবমাননার অভিযোগ তুলে৷</t>
  </si>
  <si>
    <t>ধর্ম নিয়ে কটাক্ষ ও উস্কানিমূলক পোস্ট করা হয়েছে।</t>
  </si>
  <si>
    <t>চঞ্চলকে যারা বাজে মন্তব্য করছে তাদের নিন্দনীয় হবার ব্যাপারে বাকি মুসলিমদের কনসেনসাস আছে।</t>
  </si>
  <si>
    <t>পন্ডিত মশাই, আপনি বলছেন আমিষ খাওয়া নিষেধ; এর সঠিক দলিল ও প্রমাণ দিন।</t>
  </si>
  <si>
    <t>লালমনিরহাটে ধর্মীয় বিরোধের কারণে সংঘর্ষে ৪০ জন প্রাণ হারায়। পুলিশ সহিংসতা দমনে ব্যর্থ হয়, সরকার শান্ত থাকার নির্দেশ দেয়। আক্রান্ত পরিবার নিরাপত্তার কারণে গ্রাম ত্যাগ করে।</t>
  </si>
  <si>
    <t>বাংলাদেশে ধর্ম অবমাননার গুজবে সহিংসতা, সরকার পরিস্থিতিকে যেভাবে দেখছে</t>
  </si>
  <si>
    <t>চুকনগরে মুসলিম ধর্মালম্বী হওয়ার কারণে হাজারো মানুষকে নৃশংসভাবে হত্যা করা হয়েছিল। প্রাণরক্ষা অসম্ভব জেনে অনেকে আত্মহত্যা করেছিল এই বিভীষিকাময় হত্যাযজ্ঞ থেকে বাঁচতে।</t>
  </si>
  <si>
    <t>ইসলাম ধর্মে নাকি স্পষ্টভাবে বলা আছে,যে ঘরে মূর্তি থাকে সেখানে নামাজ হবেনা।মানলাম।আমার হিন্দুধর্মে কিন্তু এমন কিছুই নেই যে, যেখানে নামাজ পড়ছে সেখানে পূজা করতে পারবো না।</t>
  </si>
  <si>
    <t>হিন্দুরা অনেক সময় অন্য ধর্মের পূজাবিদ্বেষী হয়, তারা অন্যদের ধর্মীয় অনুভূতিকে মান্যতা দেয় না এবং ধর্মীয় সংঘাত বাড়ায়।</t>
  </si>
  <si>
    <t>কুরআনের অবমাননা সব ধর্মীয় শিক্ষা এবং আন্তর্জাতিক রীতিনীতির পরিপন্থী। এ ধরনের অবমাননাকর কর্মকাণ্ড বন্ধ করার জন্য সৌদি সরকারের পক্ষ থেকে অনুরোধ করা হয়েছে।</t>
  </si>
  <si>
    <t>আমি তোমাকে সঠিক ধর্মীয় জ্ঞান এবং সতর্ককারীরূপে প্রেরণ করেছি। জাহান্নামীদের সম্পর্কে তোমার কোনো প্রশ্ন করা হবে না।</t>
  </si>
  <si>
    <t>কুড়িগ্রামে গরুর গাড়ি করে মন্দিরে হামলা চালিয়ে ঢাক-ঢোল ভাঙচুর করা হয় এবং প্রতিমার চোখে আঘাত করা হয়।</t>
  </si>
  <si>
    <t>১৯৯০ সালে মসজিদ ও মন্দির সংক্রান্ত বিতর্কের জেরে বড় আকারের সাম্প্রদায়িক দাঙ্গা ঘটে।</t>
  </si>
  <si>
    <t>ইসলাম শান্তির ধর্ম, তাই এ ধরনের ছলচাতুরি গ্রহণযোগ্য নয়। আদালত যেন বিতর্কিত স্থানে মসজিদ নির্মাণের মাধ্যমে হিন্দু-মুসলিম ঐক্য ও শান্তিপূর্ণ সহঅবস্থান নিশ্চিত করার পরামর্শ দেয়।</t>
  </si>
  <si>
    <t>এটা যেমনি কিয়ামতের নিদর্শন, তেমনি এটা শেষ জামানা, এখনই পুরো বিশ্বের মুসলমান এক হবে। অবশেষে ইসলামের জয় হবে। লা ইলাহা ইল্লাল্লাহু মুহাম্মাদুর রাসুলুল্লাহ সাল্লাল্লাহু আলাইহি ওয়া সাল্লাম।</t>
  </si>
  <si>
    <t>মুসলমানদের ধর্ম বারংবার অপমানিত হচ্ছে, কিন্তু সঠিক বিচার হচ্ছে না। তাই অপমান বাড়ছে এবং একদিন এর কঠিন জবাব দিতে হবে দুনিয়া কিংবা পরকালে।</t>
  </si>
  <si>
    <t>ঠিক সেভাবেই মন্দিরের দোহাই দিয়ে যদি ১ কিলোমিটার দূরবর্তী মসজিদ নির্মাণ বন্ধ করে দিতে সক্ষম হয় হিন্দুরা, তাহলে পরবর্তী ধাপ হবে ঐ কান্তনগর গ্রামে কোন গরু জবাই করা যাবে না।</t>
  </si>
  <si>
    <t>আপনাকে অনেক অনেক নেক হায়াত দান করুক আল্লাহ তায়ালা। এত সুন্দর একটা ক্লাস দেওয়ার জন্য আর খুব সুন্দর করে উপস্থাপন করেছেন।</t>
  </si>
  <si>
    <t>যারা ইসলাম ধর্ম থেকে নিজেকে দুরে রাখেন-- বিপদের সময় তারা আল্লাহ্‌র সাহায্য থেকে বঞ্চিত হন-- আল্লাহ্‌ আমাদের একমাত্র সহায়ক !!!</t>
  </si>
  <si>
    <t>ধনতলা ইউনিয়নের সিন্দুরপিণ্ডি থেকে টাকাহারা পর্যন্ত হিন্দু ধর্মীয় মন্দিরগুলোর প্রতিমা পরিকল্পিতভাবে ভাঙচুর করে ধর্মীয় সহিংসতার চিত্র ফুটিয়ে তোলে, যার মধ্যে মনসা, কালী ও কৃষ্ণ মন্দির রয়েছে।</t>
  </si>
  <si>
    <t>মা ও বোনদের রক্ষা করুন হে আল্লাহ, আপনি সর্বশক্তিমান, আপনি দয়ালু। শান্তি ও ন্যায়বিচার প্রতিষ্ঠা করুন আপনার রহমতে এই দুনিয়ায়।</t>
  </si>
  <si>
    <t>মহানবী (সা.)-কে নিয়ে কটূক্তি করার অভিযোগে দুই মুসলিম ব্যক্তি এক হিন্দু দর্জিকে নির্মমভাবে হত্যা করে, যা দেশজুড়ে উত্তেজনার সৃষ্টি করে।</t>
  </si>
  <si>
    <t>ঢাবির সিদ্ধান্ত আমরা সমর্থন করি না; আমরাও ইফতারে অংশগ্রহণ করি।</t>
  </si>
  <si>
    <t>মুসলিম সম্প্রদায়ের উগ্র গোষ্ঠী ধর্মীয় উগ্রতা ছড়িয়ে অন্য ধর্মের প্রতি বিদ্বেষ সৃষ্টি করছে।</t>
  </si>
  <si>
    <t>ব্রাহ্মণবাড়িয়ায় লজ্জা লাগে যে আমাদের এই দেশের ৯৫ % নাকি মুসলিম।</t>
  </si>
  <si>
    <t>যারা ফিজিকে একটি খ্রিস্টান রাষ্ট্র তৈরি করতে চায়। হিন্দুদের প্রতি এই অসহিষ্ণুতা হিন্দু বিরোধী বক্তৃতা এবং মন্দির ধ্বংসের মধ্যে প্রকাশ পেয়েছে। যা হিন্দুদের বিরুদ্ধে সরাসরি সহিংসতার সবচেয়ে সাধারণ রূপ।</t>
  </si>
  <si>
    <t>ইবাদত করতে করতে অহংকারে অন্ধ হয়ে যাওয়া আপনার পরিণতিও যে ইবলিশের মতো হবে না , সেইটা যেমন বলা যাবে না, তেমনি আজ যাকে আবু জাহল বলে গালি দেন, সেই আবু জাহলের শেষটাই যে খোদা আবু সুফিয়ানের মতো লিখে রাখেননি, সেই নিশ্চয়তা আপনাকে কে দিয়েছে?</t>
  </si>
  <si>
    <t>২৯ জন গ্রামবাসীকে আটক করে প্রহারের পর পরিবারের সামনে গুলি করে হত্যা করা হয়; একজন আহত অবস্থায় বেঁচে যান। হত্যার আগে সেনাবাহিনী হুমকি দেয়—কোনো মুক্তিযোদ্ধা বা হিন্দু রেহাই পাবে না।</t>
  </si>
  <si>
    <t>নবী মুহাম্মদকে নিয়ে সামাজিক মাধ্যমে অসম্মানসূচক মন্তব্য করার অভিযোগ আনা হয় ছেলেটির বিরুদ্ধে।</t>
  </si>
  <si>
    <t>আপনার ধর্মীয় অনুভূতির প্রতি শ্রদ্ধা রেখে বলছি, আমাদের ধর্মে শির্ক সবচেয়ে বড় অপরাধ, তবে তাওবা করলে ক্ষমা পাওয়া যায়।</t>
  </si>
  <si>
    <t>আবার সংখ্যালঘু হিন্দু সম্প্রদায়ের বাড়িতে আগুন লাগিয়ে দেয়া কি উচিত? আসলে কোনটিই সত্যিকার অর্থে মানুষের কাজ হতে পারে না৷ সামান্য কিছু বিশৃঙ্খলা সৃষ্টিকারীদের জন্যেই হিন্দু মুসলিম উভয় ধর্মের মানুষের মাঝে সাম্প্রদায়িক সম্প্রীতি বিনষ্ট হচ্ছে ৷</t>
  </si>
  <si>
    <t>তীব্র নিন্দা ও প্রতিবাদ জানাই। যে-ই এই কাজ করেছে ইনশাআল্লাহ বিচার অবশ্যই আল্লাহর কাছে পাবেই।সংঘাত নয় শান্তি চাই।কোরআন অবমাননাকারীর বিচার চাই।</t>
  </si>
  <si>
    <t>২০২০ সালের মার্চ মাসে এক ধর্মীয় গোষ্ঠী রক্তদানে নিষেধাজ্ঞা দিয়ে বহু রোগীকে মৃত্যুর দিকে ঠেলে দেয়; অন্তত ৪২ জন মারা যান।</t>
  </si>
  <si>
    <t>বিভিন্ন বক্তার মন্তব্যে মুসলিম সমাজে অস্থিতিশীলতা এবং ঐক্যের অভাব দেখা দিচ্ছে, ফলে বিভাজন বৃদ্ধি পাচ্ছে।</t>
  </si>
  <si>
    <t>গত সপ্তাহে বাংলাদেশের কুমিল্লায় একটি পূজা মণ্ডপে মুসলমানদের পবিত্র গ্রন্থ কোরআন পাওয়ার পর স্থানীয় হিন্দু সম্প্রদায়ের ওপর যে হামলা শুরু হয়, সেটা দ্রুত ছড়িয়ে পড়ে অন্যান্য জেলায়।</t>
  </si>
  <si>
    <t>৩১ আগস্ট ২০২৪ টাঙ্গাইলের ঘাটাইলে রামঠাকুর আশ্রমে হামলা করে প্রতিমা ও প্রার্থনার আসন ভেঙে দেয়</t>
  </si>
  <si>
    <t>খুলনা জেলার সরকার মন্দির ভাঙ্গার অজুহাত দেয় যে মন্দিরগুলি নাকি "অবৈধভাবে" নির্মিত হয়েছিল। কিন্তু ভেঙে ফেলা বেশ কয়েকটি মন্দির শতাব্দী প্রাচীন ছিল।</t>
  </si>
  <si>
    <t>যেকোনো ধর্মের অবমাননা করলেই কঠোর শাস্তি দেওয়া উচিত।</t>
  </si>
  <si>
    <t>যিনি জানেন আমার কোন জন্ম নেই, আমি অনাদি এবং সমস্ত লোকসমূহের মহেশ্বর, তিনি মোহশূন্য হয়ে সমস্ত পাপ থেকে মুক্ত হন। “</t>
  </si>
  <si>
    <t>মৃতকে গোসল দেওয়া ফরযে কেফায়াহ। যারা মৃত ব্যক্তিকে শর‘ঈ পদ্ধতিতে অর্থাৎ ইসলামের প্রতিষ্ঠিত বিধান অনুযায়ী গোসল দিতে জানেন, তারাই মৃতদের গোসলের দায়িত্ব নিবেন।</t>
  </si>
  <si>
    <t>প্রত্যক্ষ সংগ্রামের আহ্বান জানিয়ে জামায়াত-শিবিরপন্থী নেতারা ঘোষণা করেন, তারা “একটি ইসলামী বাংলাদেশ চাই, না হলে বিশৃঙ্খল বাংলাদেশ মেনে নেব।” তাদের এই উগ্র মতাদর্শ দেশজুড়ে বিভাজন, সহিংসতা ও সাম্প্রদায়িক উত্তেজনার জন্ম দেয়।</t>
  </si>
  <si>
    <t>ধর্মই সকল ধর্ম কে সন্মান করতে শিখিয়েছে। যে এর বিরুদ্ধে যাবে সেই শাস্তি ভোগ করবে! আর একজন মুসলিম হয়ে এর বিরুদ্ধে রুখে দাঁড়ানো আমাদের জিবনের সব থেকে বড় দায়িত্ব।</t>
  </si>
  <si>
    <t>আমরা গৌড়ীয় ব্রহ্ম মাধব সম্প্রদায়। ইসকনের ভাবাদর্শ হলো এই বাংলার যে বৈষ্ণব মতবাদ, অর্থাৎ গৌড় অঞ্চলের বৈষ্ণব ধারা, সেটাই আমরা বিশ্বে ছড়িয়ে দিই।</t>
  </si>
  <si>
    <t>ইতিহাসে মুসলমানদের অবদান গর্বের। শতাব্দীর পর শতাব্দী ধরে শান্তি ও উন্নয়নে কাজ করেছে তারা এবং ধর্মীয় মূল্যবোধ নিয়ে স্বাধীনতার সংগ্রামেও রেখেছে গুরুত্বপূর্ণ ভূমিকা।</t>
  </si>
  <si>
    <t>ধর্মীয় দাঙ্গায় প্রতিবন্ধী ও বৃদ্ধদেরকে নির্মমভাবে হত্যা করা হয়, যারা আত্মরক্ষাও করতে পারেনি; নিহতের সংখ্যা ৪১ জন।</t>
  </si>
  <si>
    <t>ধর্ম হচ্ছে মানুষের সর্বোচ্চ আবেগের জায়গা। যা মানুষের ঈমান বা বিশ্বাসের সর্বোচ্চ স্থান। এই ঈমান আবেগের সাথে যে বা যারা খেলা করছে তারা মনুষ্যত্বহীন।</t>
  </si>
  <si>
    <t>বাড়ির আরও চারজন পুরুষ সদস্যকেও একইভাবে হত্যা করে উল্লাস করে তারা।[১৬] নবাবপুরের বিখ্যাত দাস স্টুডিও লুটপাট করে তারা এবং আগুনে পুড়িয়ে সম্পূর্ণ ভস্মে পরিণত করে। ১৫ জানুয়ারি রাতে নগরখানপুরের প্রত্যেকটি হিন্দু বাড়িতে একই ভাবে আক্রমণ করে মুসলিমরা এবং লুটপাট-রাহাজানি শেষে ধ্বংস করে দেয় সেগুলো।[১৭] ১৫ জানুয়ারি প্রকাশ্য দিবালোকে টিকাটুলির রামকৃষ্ণ মিশন আক্রমণ করে মুসলিমরা।</t>
  </si>
  <si>
    <t>ইসলাম আমাদের এই শিক্ষাটা দেয় নাই কাউকে লজ্জা দেওয়া ।হাজার হোক উনি একজন নারী উনাকে সম্মান দেওয়া উচিত ছিল ।</t>
  </si>
  <si>
    <t>মাগুরা জেলায় ১০ জানুয়ারী মাগুরা সদর উপজেলার সাতদোহা এলাকা থেকে দুইটি হিন্দু মন্দির থেকে স্বর্ণালঙ্কার চুরি করা হয়।[৭][১৭] দুর্বৃত্তরা শ্রী শ্রী নেংটা বাবার আশ্রমের দুইটি মন্দিরে ভাঙচুর করে, এবং দানবাক্স থেকে ক্যাশ চুরি করে, চুরি করে স্বর্ণ ও রুপার মুল্যবান সামগ্রী।</t>
  </si>
  <si>
    <t>যে হিদায়াত পেয়ে রাসুলের বিরুদ্ধাচরণ করে ও মুমিনদের পথে না চলে, তাকে ফেরানো হবে জাহান্নামের দিকে, যা নরকের বাসস্থান।</t>
  </si>
  <si>
    <t>২০১৮ সালের আগস্টে এক মসজিদে গ্যাস লিকেজ থেকে সৃষ্ট আগুনে ৩১ জন নিহত হন; এ ঘটনায় বহু লোক গৃহহীন হয়।</t>
  </si>
  <si>
    <t>এক গোষ্ঠী ধর্মীয় বই বিতরণকারীদের ওপর হামলা চালিয়ে ১৯ জন প্রাণ হারায়।</t>
  </si>
  <si>
    <t>নূহ ও গুরগাঁও-এ হিন্দু-মুসলিম সংঘাতে ইমাম সাদের ভাই শাদাব আনওয়ার তার ভাইয়ের লাশ দেখেছেন। মসজিদে হামলার অভিযোগে বেশ কয়েকজন আটক হয়েছে। পরিস্থিতি এখনও উত্তপ্ত।</t>
  </si>
  <si>
    <t>ধর্মীয় দাঙ্গায় এক বাজারে আগুন লাগিয়ে ৩৭ জন নিহত হন।</t>
  </si>
  <si>
    <t>পরিবারের পুরুষ সদস্যদেরকে হত্যা করে নারীদেরকে বিভিন্নজনের কাছে ভাগ করে দিত ঐ এলাকার মৌলোভী ও মুরব্বিরা।মুসলিম পরিবারের নারীরাও এসব অপহৃত ভাগ্যহত হিন্দু মেয়েদের ধর্ষণ করতে ও লুকিয়ে রাখতে সমানভাবে সাহায্য করত পুরুষ সদস্যদেরকে।</t>
  </si>
  <si>
    <t>আমি দেখেছি আমাদের পাড়া-মহল্লায় মুসলিম ও হিন্দু পরিবার একসাথে ঈদ ও দুর্গাপূজার সময় একে অপরকে মিষ্টি ও শুভেচ্ছা বিনিময় করে। এটাই তো প্রকৃত সম্প্রীতির দৃষ্টান্ত।</t>
  </si>
  <si>
    <t>১৮ই ফেব্রুয়ারি শনিবার সকালে, অনেক হিন্দু ও খ্রিস্টান তাদের লুট করা, ধ্বংস করা ও পুড়ে যাওয়া বাড়িগুলিতে ফিরে আসে। সন্ধ্যায়, তারা আবার থানায় সমবেত হয়। এবার তাদের নগদ টাকা ও গহনার বদলে ভিতরে প্রবেশের অনুমতি দেওয়া হয়। এরই মধ্যে আনসাররা মুলাদিতে লাউডস্পিকারে ঘোষণা করে হিন্দুদের মুলাদি থানায় জড়ো হতে বলে।</t>
  </si>
  <si>
    <t>কীভাবে পশ্চিমবঙ্গের রাজনীতিতে ধর্মের উত্থান হল, সেই খোঁজ করতে গিয়ে ১৩ ই এপ্রিল রামনবমীর দিন সকালে দেখছিলাম কলকাতার নানা জায়গায় বিজেপি প্রার্থীরা মিছিলে হাঁটছেন, যা রাজনৈতিক এবং সাংস্কৃতিক নানা চর্চার প্রতিফলন।</t>
  </si>
  <si>
    <t>কুড়িগ্রামে এক গোষ্ঠী ধর্মীয় গোষ্ঠীর মধ্যে সংঘর্ষে ২৯ জন নিহত হন; আহত হয় বহু মানুষ।</t>
  </si>
  <si>
    <t>সাম্প্রদায়িক দাঙ্গা কোনো ধর্মপ্রাণ ব্যক্তি ঘটায় না; এটি কিছু ডাকাত, নাস্তিক ও অপরাধীর কাজ।</t>
  </si>
  <si>
    <t>একজন ভালো মানুষ হতে ধর্ম মুখ্য বিষয় নয়। আপনি যদি ধর্ম পালন করে ভণ্ডামো করেন, মিথ্যার আশ্রয় নেন, মানুষের সাথে প্রতারণা করেন, প্রবঞ্চনা করেন, তাহলে সে ধর্ম আপনার কোন উন্নয়নে কাজে লাগবে না; সে ধর্ম আপনাকে ভালো মানুষ হতে সহযোগিতা করবে না।</t>
  </si>
  <si>
    <t>বিশ্বজুড়ে মুসলমানদের প্রধান ধর্মীয় উৎসব হল ঈদ-উল ফিতর ও ঈদ-উল আযহা।</t>
  </si>
  <si>
    <t>জামালপুরের কাছে মনপুরার চন্দ্রকুমার কর্মকারকে ও ঘোষবাগের হোটেল কর্মচারী যামিনী দে কে হত্যা করা হয়। চর পার্বতীর তাজুমিয়ার হাটে দেবীসিংহপুরের অশু সেনকে নৃশংস ভাবে পেটানো হয়। বাঁশপাড়ার রাজকুমার চৌধুরীকে তার বাড়িতে যাবার পথে মারাত্মক ভাবে পিটিয়ে জখম করে ফেলে রাখা হয়।</t>
  </si>
  <si>
    <t>যাইহোক, কলুচি ও লেস্টার বলেছেন যে মিডিয়া দ্বারা প্রতিবেদন করা কোনো নারীকে তাদের সতী আত্মহত্যার আগে মানসিক মূল্যায়ন করা হয়নি এবং এইভাবে তাদের আত্মহত্যার পেছনে সংস্কৃতি বা মানসিক অসুস্থতা প্রাথমিক চালক ছিল কিনা তা নিশ্চিত করার জন্য কোনো বস্তুনিষ্ঠ তথ্য নেই।</t>
  </si>
  <si>
    <t>বৌদ্ধধর্ম একটা খুবই পরিচিত ও চিরচেনা ধর্ম। বৌদ্ধধর্ম সাধারনত স্পষ্ট ঈশ্বরবাদী ধর্ম নয়, ইব্রাহিমী ধর্ম হওয়া তো অনেক দূরের কথা।</t>
  </si>
  <si>
    <t>এটি সত্য যে, ইসলাম ধর্মে বিশ্বাস করা হয় যে ভাগ্য বা কদর আল্লাহর হাতে থাকে এবং তা একমাত্র আল্লাহর ইচ্ছার উপর নির্ভরশীল। মানুষের জীবনের সমস্ত ঘটনা, ভালো-মন্দ, দুঃখ-সুখ, জীবন-মৃত্যু সবকিছুই আল্লাহর পরিকল্পনায় নির্ধারিত। তবে, আল্লাহ আমাদের মুক্ত ইচ্ছা দিয়েছেন যাতে আমরা ভালো কাজ করি এবং তাঁর পথে চলি। ভাগ্য সম্পর্কে মানুষের ধারণা সীমিত, এবং আল্লাহ ছাড়া কেউ এর সঠিক রহস্য জানে না। তবে, এটি আমাদের জন্য একটি শিক্ষা যে, আমরা নিজেদের কাজ ও ইচ্ছা অনুযায়ী সর্বোত্তম চেষ্টা করতে পারি, এবং আল্লাহর উপর ভরসা রেখে জীবনকে সুন্দর করতে পারি।</t>
  </si>
  <si>
    <t>যারা অন্য ধর্মের মানুষের প্রতি হিংসা ও বিদ্বেষ ছড়ায়, তারা আসলে সমাজে অস্থিরতা সৃষ্টি করতে চায় এবং শান্তির পথ বন্ধ করে দেয়।</t>
  </si>
  <si>
    <t>ইসলাম ধর্মের মূল ভিত্তি হলো শান্তি প্রতিষ্ঠা, যা বিশ্বাসীদের মধ্যে দয়া, সহানুভূতি এবং শান্তিপূর্ণ সম্পর্কের গুরুত্ব বোঝায়।</t>
  </si>
  <si>
    <t>এক ধর্মীয় উগ্র গোষ্ঠী সামাজিক যোগাযোগ মাধ্যমে বিভ্রান্তিকর ধর্মীয় প্রচারণা চালিয়ে সংখ্যালঘুদের টার্গেট করে হত্যা ও ধর্ষণ ঘটায়, এতে ৫৮ জন নিহত হন।</t>
  </si>
  <si>
    <t>অক্টোবরের ১৪ তারিখে নোয়াখালীর রামগঞ্জ পুলিশ স্টেশনের নিয়ন্ত্রণাধীন এলাকায় হাজার হাজার নিম্ন বর্ণের হিন্দুদের উপর নির্যাতন করে মুসলিমরা। তাদের বাড়িঘর লুটপাট করে, আগুন দিয়ে পুড়িয়ে দেয়া হয় বসত ভিটা ।</t>
  </si>
  <si>
    <t>বেশ কিছু দিন ধরে কিছু মৌলবাদী গোষ্ঠী, জঙ্গি গোষ্ঠী নানান রকম ধর্মীয় অপপ্রচার চালাচ্ছেন আমার বিরুদ্ধে। তাদের মধ্যে কেউ কেউ বেসরকারি ও সরকারি ইউনিভার্সিটিতে পড়ান</t>
  </si>
  <si>
    <t>গত পাঁচ বছরে বাংলাদেশে সাম্প্রদায়িক সহিংসতা ও সন্ত্রাসী হামলার ঘটনা বেড়ে চলেছে।</t>
  </si>
  <si>
    <t>সেতুর ওপর একটা বিশেষ পদ্ধতিতে পরিকল্পনা করে পলায়নরত হিন্দুদের হত্যা করা হয়।</t>
  </si>
  <si>
    <t>সেক্যুলার নামের ইতরগুলো ইসলাম ধ্বংসের এজেন্ডা নিয়ে ঘুরে বেড়াচ্ছে—তাদের বয়কট করা উচিত।</t>
  </si>
  <si>
    <t>বোনেরা হিজাব, নিকাব যে যতটুকুই করছেন এক ধাপ আগে বাড়ুন। একসাথে ইফতার করুন, ঘোরাফেরা করুন।</t>
  </si>
  <si>
    <t>একবার এক মৃত আত্মীয়ের সামনে বসে কুরআন পড়ছিলাম। এলাকার মসজিদের ইমাম এসে বললেন এভাবে মৃতের সামনে বসে কুরআন পড়া যাবে না। এরপরে আর পড়া হয় নাই কখনো।</t>
  </si>
  <si>
    <t>পঞ্চগড়ে ধর্মীয় উগ্রবাদীর কারণে এক মসজিদে হামলা হয়; এতে ২৮ জন নিহত হয়।</t>
  </si>
  <si>
    <t>২০১৮ সালের ডিসেম্বর মাসে হিন্দুদের একটি পিকনিক স্পটে হামলা চালিয়ে ২৯ জন নিহত করা হয়, হামলাকারীরা মন্দির ও ঘরবাড়ি ভেঙে দেয়।</t>
  </si>
  <si>
    <t>ভক্তগণ প্রতিটি মন্দিরে বহু প্রদীপ প্রজ্জ্বলিত করেন, ফুলের মালা দিয়ে মন্দিরগৃহ সুশোভিত করে বুদ্ধের আরাধনায় নিমগ্ন হন।</t>
  </si>
  <si>
    <t>হিন্দু ধর্মে একতার এবং শুদ্ধতার প্রতি শ্রদ্ধা এবং পরিবেশের প্রতি ভালোবাসা গভীরভাবে সমর্থিত।</t>
  </si>
  <si>
    <t>সদ্বিচার, সহানুভূতি ও দয়া — এগুলো প্রতিটি ধর্মের মৌলিক শিক্ষা।</t>
  </si>
  <si>
    <t>২০১৬ সালের ডিসেম্বর মাসে এক গোষ্ঠী ধর্মীয় বই বিতরণকারীদের ওপর হামলা চালিয়ে ১৮ জন নিহত করে।</t>
  </si>
  <si>
    <t>বৌদ্ধ ধর্মাবলম্বীদের নিকট এটি দ্বিতীয় বৃহত্তম ধর্মীয় উৎসব। আশ্বিন মাসের পূর্ণিমা তিথিতে এই উৎসব পালিত হয়।</t>
  </si>
  <si>
    <t>সুনাইতা এবং কুর্মা গ্রামের হিন্দু মেয়েদের ওপরও চালানো হয় বীভৎস নির্যাতন। রাজগঞ্জ আখরা গ্রামের নীর ভট্ট এবং রাম চন্দ্র ভট্টের বাড়ি লুট করে মুসলিমরা।</t>
  </si>
  <si>
    <t>বেদ, পুরাণ ও শাস্ত্রগুলো হিন্দু ধর্মের মূল উৎস, যা দয়ালু এবং সহানুভূতির পথে চলতে শেখায়।</t>
  </si>
  <si>
    <t>ধর্ম নিয়ে একটু কথা বললেই আমাদের এডুকেশন, লাইসেন্স, পরিবার, পোশাক, দাঁড়ি, হিজাব সবকিছুতে এরা ঝাঁপায় পড়ে!</t>
  </si>
  <si>
    <t>২০১৯ সালের আগস্ট মাসে এক গোষ্ঠী ধর্মীয় গোষ্ঠী সংখ্যালঘুদের উপর সহিংসতা চালিয়ে ২৩ জন নিহত হয়।</t>
  </si>
  <si>
    <t>জামালপুরে ধর্মীয় দ্বন্দ্বে সংখ্যালঘু সম্প্রদায়ের ওপর হামলায় অন্তত ৩৮ জন নিহত হন।</t>
  </si>
  <si>
    <t>দাঙ্গা শুরু হলে পরিকল্পিত ভাবে গ্রামের খাল গুলোর বাঁশের সাকো ভেঙ্গে ফেলা হয় ও রাস্তা খুঁড়ে চলাচল অযোগ্য করা হয় এবং মুসলিম মাঝিরা হিন্দু যাত্রীদের তাদের নৌকায় পারাপারে অস্বীকৃতি জানায়।</t>
  </si>
  <si>
    <t>ইসলাম নিয়ে প্রশ্ন মনে জাগে, তাই আমি নবী মুহাম্মদের জীবন পড়ি। তাঁর দয়া আর ধৈর্য আমাকে ছুঁয়ে যায়। জীবনের দিক হারিয়ে গেলে আমি আল্লাহর পথেই আশ্রয় খুঁজি।</t>
  </si>
  <si>
    <t>মুহাম্মদ ইচ্ছাকৃতভাবে মক্কার লোকদের বিরুদ্ধে চুক্তি ভেঙে উস্কানি দিয়েছেন, এটাই তার প্রতারণার প্রমাণ।</t>
  </si>
  <si>
    <t>গত নয় বছরে বাংলাদেশে হিন্দু সম্প্রদায়ের বিরুদ্ধে প্রায় ৩,৬৭৯টি হামলা হয়েছে, কোনোটির সুবিচার হয়নি।</t>
  </si>
  <si>
    <t>ধর্মীয় বিদ্বেষের কারণে এক নারী শিক্ষককে গণধর্ষণ করে হত্যা করা হয়, প্রতিবাদে ১৬ জন নিহত হন।</t>
  </si>
  <si>
    <t>এ রাতে পবিত্র কুরআন নাজিল হয়েছে। এ কারণে আল্লাহ তাআলা এ রাতের মর্যাদা বাড়িয়ে দিয়েছেন।</t>
  </si>
  <si>
    <t>বিক্ষোভ মিছিলে কুমিল্লার মক্কিনগর মাদ্রাসার শ্রদ্ধেয় মুহতামিম 'মাওলানা আব্দুস সালাম শরাফতি' সাহেব গু*লিবিদ্ধ হন!</t>
  </si>
  <si>
    <t>সর্বশেষ ২৪ ডিসেম্বর দক্ষিণখান থানার পূর্ব আশকোনায় এক বাড়িতে অভিযানে এক নারী জঙ্গি গ্রেনেড ফাটিয়ে আত্মঘাতী হন, নিহত হয় এক কিশোর জঙ্গি।</t>
  </si>
  <si>
    <t>মুসলিম হিসাবে এ ঘটনার আমি চরম নিন্দা ও প্রতিবাদ জানাই। পূজা উদযাপন কমিটির উদাসীনতা ও কর্তৃপক্ষের জননিরাপত্তা হীনতা এর পিছনে দায়ী নয় কি?</t>
  </si>
  <si>
    <t>ডাকরা একটি প্রধানত হিন্দু গ্রাম ছিল, এটি একটি বিখ্যাত কালী মন্দির ছিল। নকড়া ঠাকুর নামেও পরিচিত বকবক চক্রবর্তী, যিনি আধ্যাত্মিক ব্যক্তিকে সবার দ্বারা সম্মানিত করেছিলেন।</t>
  </si>
  <si>
    <t>হিন্দু উগ্রপন্থীরা জনসমক্ষে মুসলিম পরিবারকে অপমান করতে ইচ্ছাকৃতভাবে রঙ ছুঁড়ে মারেছে—এটা মুসলিমদের নিচু দেখানোর পরিকল্পনার অংশ।</t>
  </si>
  <si>
    <t>জমিদার বাড়ির লোকজন ইসলামের ব্যাপারে খুব সচেতন ছিলো।।বাড়ীর জামাইদের জন্য আলাদা বিশ্রাম ঘর ছিলো তারা সেখানে এসে বেড়াতো কিন্তু ভিতরে প্রবেশ করতে পারতো না।</t>
  </si>
  <si>
    <t>১৯৯২ সালে অযোধ্যায় বাবরি মসজিদ ভেঙে ফেলা হলে দেশজুড়ে হিন্দু-মুসলিম সংঘর্ষ ছড়িয়ে পড়ে</t>
  </si>
  <si>
    <t>কটন মিলসের হত্যাকাণ্ডে ধারণা করা হয় যে মৃতের সংখ্যা ১০০০ বা তার বেশি ছিল, যেখানে হিন্দুরা ছিল প্রাথমিক ভুক্তভোগী।</t>
  </si>
  <si>
    <t>এই ঘটনার জেরে ঢালাওভাবে অনেক নিরপরাধ মানুষকেও আটক করা হয়। বিশেষ করে, অনেকে ব্যক্তিগত শত্রুতার জেরে মিথ্যা অভিযোগ তুলে অনেক মুসলমান বাসিন্দাকে ঘরছাড়া করেছে বলে তিনি অভিযোগ করেন।</t>
  </si>
  <si>
    <t>বরিশালে কৃষ্ণমূর্তির গায়ে তরল পিচ ঢেলে ভাঙার চেষ্টা করে দুর্বৃত্তরা, এলাকাবাসী দ্রুত প্রতিক্রিয়া জানায়।</t>
  </si>
  <si>
    <t>ধর্মীয় প্রতিহিংসায় এক গর্ভবতী নারীকে হত্যা করা হয়, কারণ সে তার সন্তানকে ভিন্ন ধর্মে বড় করতে চেয়েছিল; হামলায় ১০ জন নিহত হন।</t>
  </si>
  <si>
    <t>নাটোরে ধর্মীয় উগ্রবাদীদের হাতে সংখ্যালঘু সম্প্রদায়ের ৪৫ জন নিহত হন। তারা মন্দির ও বাড়িঘর পুড়িয়ে দেয় এবং বহু মানুষ আহত হয়। প্রশাসন যথাযথ ব্যবস্থা নিতে ব্যর্থ হয়।</t>
  </si>
  <si>
    <t>অনেক হিন্দুকে নির্মম ভাবে হত্যা করে মুসলিমরা।এদের মধ্যে একটি দল পরবর্তী চার দিন খুলনার হিন্দু সম্প্রদায়ের উপর লাগামহীন হত্যা,ধর্ষণ,অপহরণ, লুণ্ঠন, ধ্বংসের এক বন্য বীভৎসতা চলে।</t>
  </si>
  <si>
    <t>২০১৮ সালের সেপ্টেম্বরে এক গ্রামের স্কুলে হিন্দু ও মুসলিম ছাত্রদের মধ্যে ধর্মীয় দ্বন্দ্বের কারণে দাঙ্গা বাঁধে। সংঘর্ষে অন্তত ২৪ জন নিহত হয়, বেশিরভাগই শিশু ও শিক্ষার্থী।</t>
  </si>
  <si>
    <t>কিশোরগঞ্জে ধর্মীয় বিদ্বেষ থেকে সংখ্যালঘু হিন্দুদের বসতবাড়ি, মন্দির ও পবিত্র স্থানে আগুন ধরিয়ে দেওয়া হয়। সংঘর্ষে ৪৩ জন নিহত হয়। নিরাপত্তা বাহিনী হামলাকারীদের দমন করতে ব্যর্থ হয়, ফলে সাম্প্রদায়িক উত্তেজনা এলাকায় ছড়িয়ে পড়ে।</t>
  </si>
  <si>
    <t>যেহেতু এই সাম্প্রদায়িক হানাহানির সাথে রাজনীতি জড়িত সুতরাং ধর্ম নিয়ে রাজনীতি যতদিন এদেশে থাকবে ততদিন এই সমস্যার সমাধান হবে না। তবে সরকার জানাসত্বেও পর্যাপ্ত নিরাপত্তা ব্যবস্থা নেয়নি এটা হয়তোবা তাদের রাজনৈতিক ফায়দা নেয়ার চেষ্টা হতে পারে।</t>
  </si>
  <si>
    <t>ইসলাম ধর্মে সম্পত্তিতে নারীর উত্তরাধিকারে তাকে পুরুষের সমান অধিকার দেয়া হয়নি, এবং রাজনৈতিক নেতৃত্বের ক্ষেত্রেও ইসলাম নারীর নেতৃত্ব স্বীকার করে না।</t>
  </si>
  <si>
    <t>বাংলাদেশে কিছু ঘটনায় মুসলিম সম্প্রদায়ের বিরুদ্ধে সহিংসতা সংঘটিত হয়েছে, যা কখনও কখনও ধর্মীয় পরিচয়ের কারণে ঘটেছে।</t>
  </si>
  <si>
    <t>রংপুরে একটি মসজিদের দেয়ালে অজ্ঞাত পরিচয়ের কট্টরপন্থী গোষ্ঠী অশ্লীল ও বিদ্বেষমূলক গুজব লিখে ধর্মীয় উত্তেজনা সৃষ্টি করে।</t>
  </si>
  <si>
    <t>ব্রাহ্মণবাড়িয়ায় ধর্মীয় উৎসবের দিন হিন্দু বাড়িতে ঢুকে মেয়েদের অলংকার ছিনিয়ে নেয় দুর্বৃত্তরা, প্রতিমা ভাঙচুর করে।</t>
  </si>
  <si>
    <t>খ্রিস্টান মিশনারিরা ধর্মান্তরের নামে ধর্মীয় ঐক্যকে ক্ষতিগ্রস্ত করছে এবং দেশে বিভাজন সৃষ্টি করছে।</t>
  </si>
  <si>
    <t>ধর্ম মানুষের মধ্যে শান্তির অনুভূতি তৈরি করে, যা তাকে জীবনে সব ধরনের অশান্তি থেকে মুক্তি দেয়। এটি মানুষকে একে অপরকে বুঝতে এবং সম্মান করতে শেখায়।</t>
  </si>
  <si>
    <t>যার যার ধর্ম সে সে নির্ভয়ে পালন করবেন। অবশ্যই কারোও ধর্মীয় অনুভূতিতে আঘাত করে নয়। এ বিষয়ে কঠোর আইন, আইনের প্রয়োগ অত্যন্ত জরুরী। অসংখ্য ধন্যবাদ মাননীয় আদালতকে।</t>
  </si>
  <si>
    <t>ইসলাম শান্তির ধর্ম এখানে অশান্তির কোন কর্ম কান্ডের স্থান দেওয়া হবে না, যারা এই ঘৃণিত কাজের সাথে জড়িত তাদের সবাইকে গ্রেপ্তার করে কঠিন শাস্তির আওতায় আনা হোক</t>
  </si>
  <si>
    <t>খ্রিস্টান মিশনারিরা ধর্মান্তরের নামে সমাজে বিভক্তি ও ধর্মীয় অশান্তি সৃষ্টি করছে যা দেশের সামাজিক ঐক্যকে ক্ষতিগ্রস্ত করে।</t>
  </si>
  <si>
    <t>২০১৫ সালে খুলনার পাইকগাছায় এক ধর্মীয় গ্রন্থের ব্যঙ্গচিত্র ফেসবুকে শেয়ার হয়েছে বলে গুজব ছড়িয়ে একদল লোক স্থানীয় গির্জায় আগুন দেয়।</t>
  </si>
  <si>
    <t>সুবহানাল্লাহ্,আলহামদুলিল্লাহ্। তিন জনকে একসঙ্গে পবিত্র মসজিদ উল হারামে দেখে ভালো লাগছে মাশাআল্লাহ।আমার পরিবারের জন্য দোয়া চাই যেন সপরিবারে হজ্জ পালন করতে পারি।</t>
  </si>
  <si>
    <t>কত নিষ্ঠুর হলে এই ধরনের হামলার করতে পারে এই যুদ্ধের মধ্য দিয়ে তাদের মুখোশ খুলে গেল।</t>
  </si>
  <si>
    <t>বাহাত্তর জনের পরিচয় অজানা, নিহতরা প্রধানত বাঙালি হিন্দু-মুসলিম এবং আওয়ামী লীগ সদস্য বা স্বাধীনতার সমর্থক ছিলেন। ১৯৯২ সালে তাঁদের স্মরণে একটি মার্বেল ফলক নির্মিত হয়, যেখানে নিহত ৭২ জন ও অন্যত্র মারা যাওয়া ছয়জনের নাম উল্লেখ আছে।</t>
  </si>
  <si>
    <t>আমিও চাই সব হিন্দুরা মাছ খাওয়া ছেড়ে দেক কারণ মাছের দাম অনেকটা বেড়ে গিয়েছে তারা খাওয়া ছেড়ে দিলে মাছের দামটা হয়তো একটু কমবে তাহলে আমাদের জন্য ভালো হবে</t>
  </si>
  <si>
    <t>বাইরে ভাঙচুর চলছে, মন্দিরে আগুন, মসজিদের মিনারে ইট ছোড়া; আর ট্রেনের ভিতরে আমরা মুখ ফিরিয়ে থাকা দুই পরিবার, জামাকাপড়ই বলে দেয় কে হিন্দু আর কে মুসলিম।</t>
  </si>
  <si>
    <t>শুনে খুশি হলাম এই নিয়ম সকল ধর্মাবলম্বি দের করা উচিত নিজের ধর্ম ও অন্য সকল ধর্ম কে নিয়ে কুটুক্তি মূলক বক্তব্য বন্ধ হোক</t>
  </si>
  <si>
    <t>মুহাম্মাদ জন্মের পর প্রায় চার বছর পর্যন্ত তার দুধমা হালিমা সাদিয়ার কাছে ছিলেন। তার মা আমিনাও এই সময়ে তার দেখাশোনা করতেন। চার বছর বয়সে তিনি মায়ের কাছে ফিরে আসেন এবং ছয় বছর বয়স পর্যন্ত তার স্নেহ ও যত্নে বেড়ে ওঠেন।[</t>
  </si>
  <si>
    <t>বৌদ্ধ সম্প্রদায়ের কিছু সদস্য অন্য ধর্মাবলম্বীদের প্রতি অবজ্ঞাসূচক মন্তব্য করে যা ধর্মীয় সহনশীলতাকে ঝুঁকিতে ফেলে।</t>
  </si>
  <si>
    <t>আহ ভাষা হারিয়ে ফেলিছি কি বলবো মুসলমান তো কখনও অন্য ধর্মকে ছোট করে এমন ভয়াবহ পদক্ষেপ নেয়নি তাহলে তারা কেন আমাদের কুরআন পুড়লো</t>
  </si>
  <si>
    <t>চারটি সাঁজোয়া যান নিয়ে একটি সৈন্যদল সাতক্ষীরার কালিগঞ্জ বাজারে এসে হঠাৎ গুলি চালায়। একজন মেজর শরণার্থীদের দুই ভাগে ভাগ করেন।</t>
  </si>
  <si>
    <t>এরা নামে মুসলিম হলেও এদের কাছে হিন্দুত্ববাদী সংস্কৃতি ই বেশি আপন। এরা নিজেরা আলাদা একটা ধর্ম তৈরি করে ফেলেছে।</t>
  </si>
  <si>
    <t>তখন মহানবী সা: বলেন, আল্লাহর রাস্তায় শহীদ না হলে তোমরা কাউকে শহীদ মনে করো না? এমন হলে তো তোমাদের শহীদের সংখ্যা অতি অল্পই হবে। আল্লাহর রাস্তায় নিহত ব্যক্তি শহীদ, পেটের পীড়ায় মৃত ব্যক্তি শহীদ, আগুনে পুড়ে মৃত ব্যক্তি শহীদ, পানিতে ডুবে মৃত ব্যক্তি শহীদ, কোনো কিছুর নিচে চাপা পড়ে মৃত ব্যক্তি শহীদ, নিউমোনিয়াজাতীয় কঠিন পীড়ায় মৃত ব্যক্তি শহীদ, যে নারী গর্ভাবস্থায় মৃত্যুবরণ করে সেও শহীদ</t>
  </si>
  <si>
    <t>বাংলাদেশের প্রধানমন্ত্রী ২০১৫ সালে বৌদ্ধ ঐতিহ্য বিষয়ক দু'দিনের এক আন্তর্জাতিক সম্মেলনে, বাংলাদেশে বৌদ্ধ সংস্কৃতি ও ঐতিহ্যভিত্তিক পর্যটন বিকাশের কথা বলেছিলেন।</t>
  </si>
  <si>
    <t>২০ জুলাই আবারো মুসলমানদের পবিত্র ধর্মগ্রন্থ কুরআন পোড়ানোর অনুমতি দেওয়ায় ইরাকের প্রধানমন্ত্রী অবিলম্বে বাগদাদে নিযুক্ত সুইডিশ রাষ্ট্রদূতকে ইরাক ছাড়ার নির্দেশ দিয়েছেন। পাশাপাশি স্টকহোমে নিযুক্ত ইরাকি রাষ্ট্রদূতকেও দেশে ডেকে পাঠান তিনি।</t>
  </si>
  <si>
    <t>আমার আল্লহার বিরুদ্ধে, আমার রাসুল এর বিরুদ্ধে, আমার কোরআনের অপমান না যে কর্বে তার এ দুনিয়ায় বাছার কনো ওদিকার নাই,,,</t>
  </si>
  <si>
    <t>মদ খাওয়া নিয়ে কোন সমস্যা নাই এই ধর্মে যত সমস্যা মাছ আর গোসত খাওয়া নিয়ে।</t>
  </si>
  <si>
    <t>আল্লাহ আমাদের দেশ এবং সম্প্রদায়ের শত্রুদের বিরুদ্ধে গজব বর্ষিত করুন।</t>
  </si>
  <si>
    <t>কোরআন পুড়িয়েছে একজন ধর্মদ্রোহী, কিন্তু মিডিয়া তাদের রক্ষা করছে কারণ তারাই ইসলামবিদ্বেষী।</t>
  </si>
  <si>
    <t>চীনা সরকার মিডিয়ার সব কর্মকাণ্ড স্তব্ধ রেখে বছরের পর বছর ২২ লাখ মুসলিমকে বিভিন্ন ডিটেনশন ক্যাম্পে আটকে রেখে তাদের প্রতিনিধির মাধ্যমে নির্যাতন, যৌন নিপীড়ন, হত্যাসহ অপরাধ কর্মকাণ্ড চালিয়ে যাচ্ছে।</t>
  </si>
  <si>
    <t>পুরনো ঢাকার জয়কালী মন্দির, নবাবগঞ্জের ঋষিপাড়া মন্দিরসহ অনেক মন্দিরে হামলা হয়। ঢাকশ্বেরী মন্দিরে হামলা করতে গেলে পুলিশ ও এলাকার মানুষ যৌথভাবে তাতে বাধা দেয়।</t>
  </si>
  <si>
    <t>হিন্দু মুসলিম পাশাপাশি বসে খাওয়া দাওয়া করে এদেশের সব ধর্মের মানুষ পাশাপাশি বসবাস করে I সুতরাং, তিলকে তাল করে এদেশের হিন্দু মুসলিমের মাঝে সহনশীল ও সৌহার্দ্যপূর্ণ সম্পর্ককে প্রশ্নবিদ্ধ করবেন না I</t>
  </si>
  <si>
    <t>সম্প্রতি বিষু তার শ্বাশুড়িকে মারধোর করলে বিষয়টি নিয়ে দু’পরিবারের লোকজন বিরোধে জড়িয়ে পড়ে। এসময় বিমল দাস মারামারিতে একটি পক্ষের হয়ে অংশ নিয়েছিল। আর প্রতিপক্ষকে শায়েস্তা করতেই রাতের আধাঁরে প্রতিমা ভাংচুর হয়। নাম প্রকাশে অনিচ্ছুক সুত্র আরো জানায়,প্রতীমা ভাংচুরের বিষয়টি একেবারেই পারিবারিক বিভেদ,কোন সাম্প্রদায়িক ঘটনা না।</t>
  </si>
  <si>
    <t>মোগল সম্রাট ঔরঙ্গজেব বিশ্বনাথ মন্দির ধ্বংস করেন এবং মন্দিরের ধ্বংসাবশেষের একটি অংশের উপরেই জ্ঞানবাপী মসজিদ তৈরি করা হয়</t>
  </si>
  <si>
    <t>সকল হিন্দুদের প্রতি আহ্বান জানানো হয়েছে—মন্দিরে নিরাপত্তার জন্য দা, কোরাল, কাচি হাতে রাখুন এবং নিজ দায়িত্বে নিরাপত্তা নিশ্চিত করুন।</t>
  </si>
  <si>
    <t>ঝিনাইদহে ধর্মীয় দাঙ্গায় ৪২ জন প্রাণ হারায়। পুলিশ দ্রুত এলাকা ঘিরে রাখে, সরকার ধর্মীয় সহনশীলতা ও শান্তি বজায় রাখার আহ্বান জানায়। আক্রান্ত সংখ্যালঘু পরিবার নিরাপত্তার অভাবে আশ্রয় খুঁজে পায়।</t>
  </si>
  <si>
    <t>মুসলিম ব্রাদারহুডের কর্মীদের গ্রেফতার করার অজুহাত দিয়ে বাড়িঘরে হামলা চালানো হয়, গণবিধ্বংসী যান দিয়ে শহরজুড়ে গণহত্যা সংঘটিত হয় এবং অন্তত ৪০ হাজার মুসলিম নিহত হয়।</t>
  </si>
  <si>
    <t>বাংলার দুর্ভাগ্য যে আমরা চোর তাড়াতে গিয়ে এমন একটি ডাকাত কে ডেকে এনেছি উনি শুধু অসৎ নন উনি জালিয়াত উনি রাষ্ট্র দ্রোহী উনি মিথ্যা বাদি</t>
  </si>
  <si>
    <t>চাঁদপুরে সনাতনী ধর্মীয় শোভাযাত্রায় “ধর্মীয় উসকানি” বলে অভিযোগ তুলে মিছিলে ইট-পাটকেল নিক্ষেপ করে উগ্র জনতা।</t>
  </si>
  <si>
    <t>টিটু রায়ের বিরুদ্ধে ৫ নভেম্বর ধর্ম অবমাননার মামলা হয়। তিনি ১৪ নভেম্বর গ্রেফতার হয়ে জামিন পান। গঙ্গাচড়া থানায় ২২৫ জনের বিরুদ্ধে চার্জশিট দায়ের হয়, যাদের মধ্যে ৪৪ জন কারাগারে পাঠানো হয়।</t>
  </si>
  <si>
    <t>জগন্নাথ হল হিন্দুদের, সেখানে তারা পূজা করবে। পুরো ঢাকা বিশ্ববিদ্যালয়ে তারা পূজার জন্য বরাদ্দ করে না।</t>
  </si>
  <si>
    <t>হিন্দু ধর্মে শান্তি ও সুখের জন্য সত্য, ধর্ম এবং স্বার্থত্যাগকে গুরুত্ব দেওয়া হয়।</t>
  </si>
  <si>
    <t>এইসব শুয়োরছানারা ব্যক্তিস্বাধীনতা খুঁজে আবার কেউ ব্যক্তিগত পছন্দে পর্দা করলে, বোরকা পড়লে এদের গাত্রদাহ হবে। কেনরে ভাই! ব্যক্তিস্বাধীনতা মানে কি পশ্চিমাদের মত ল্যাংটা থাকতে হবে!</t>
  </si>
  <si>
    <t>ঘটনায় মোট ৯ জন মানুষ প্রাণ হারান। ২০১৩ সালের ১৭ জুলাই আন্তর্জাতিক অপরাধ ট্রাইবুনাল গণহত্যায় মুজাহিদের সম্পৃক্ততার জন্য তাকে মৃত্যুদণ্ড প্রদান করে। ২০১৫ সালে সুপ্রীম কোর্টের আপিল বিভাগের চারজন বিচারপতির বেঞ্চ মুজাহিদের সাজা কমিয়ে যাবজ্জীবন কারাদণ্ড প্রদান করে।[</t>
  </si>
  <si>
    <t>পৃথিবীর যেকোনো ভূখণ্ডে শান্তি-শৃঙ্খলা, স্থিতিশীলতা, সাম্প্রদায়িক সম্প্রীতি বজায় রাখার স্বার্থে ধর্ম, ধর্মীয় গ্রন্থ, নবী ও সাহাবিদের সম্মান রক্ষার্থে অত্যন্ত কঠোর আইন অত্যাবশ্যক।</t>
  </si>
  <si>
    <t>ধর্মনিরপেক্ষতা চালু করুন। ধর্মকে রাজনীতিতে আনবেননা। ধর্ম নিয়ে রাজনীতি করে ধর্মের অপমান করবেন, নিজেরাই নিজেদের মূর্খ প্রমাণ করবেন।</t>
  </si>
  <si>
    <t>ফেনীতে ধর্মীয় গোষ্ঠীর মধ্যে সংঘর্ষে ৩৭ জন নিহত হয়; আহত হয় অনেকেই।</t>
  </si>
  <si>
    <t>নিবাসী অমল দত্ত মনে করেন, বাংলাদেশের ২২টি জেলায় পরিকল্পিতভাবে এই হামলা করা হয়েছে। তিনি বলেন, মহান মুক্তিযুদ্ধের মাধ্যমে অর্জিত এই বাংলাদেশ, হিন্দু-মুসলিম-বৌদ্ধ-খ্রিস্টানের রক্তে অর্জিত বাংলাদেশ। সেই বাংলাদেশ থেকে সংখ্যালঘুদের নিশ্চিহ্ন করার পরিকল্পনার অংশ হিসেবে এই হামলা করা হয়েছে।</t>
  </si>
  <si>
    <t>বিশেষকরে মুসলমানদেরকে যেভাবে নির্যাতন নিপিড়ন করা হয়, সেই তুলনায় বাংলাদেশের হিন্দুরা যে অনেক মর্যাদর সাথেই আছে সেটা আর বলার অপেক্ষা রাখেনা।</t>
  </si>
  <si>
    <t>ধর্মীয় অনুভূতির অপব্যবহার করে সংঘাত সৃষ্টি করা হয়, কারণ মানুষ কখনো কখনো অবচেতনভাবে ভুল পথে পরিচালিত হয়।</t>
  </si>
  <si>
    <t>বৌদ্ধ ধর্মের প্রবর্তক গৌতম বুদ্ধ বাংলাদেশের পাহাড়পুরে অবস্থান করেছিলেন এবং সেখানে বৌদ্ধ স্তূপ রয়েছে। ফলে বৌদ্ধ ধর্মাবলম্বীদের কাছে এটি অন্যতম একটি পবিত্র স্থান। প্রতিবছর বিভিন্ন দেশ থেকে এখানে পর্যটক আসেন।</t>
  </si>
  <si>
    <t>ক্ষমতাসীন দল বিজেপি-র জাতীয় দাপ্তরিক মুখপাত্র নূপুর শর্মা গত ২৭ মে একটি টিভি চ্যানেলের টক শো-তে উত্তর প্রদেশের জ্ঞানবাপী মসজিদের স্থানে মন্দির নির্মাণের দাবি নিয়ে বিতর্কের এক পর্যায়ে আপত্তিকর মন্তব্যটি করেন।</t>
  </si>
  <si>
    <t>বুদ্ধ পূর্ণিমা বা বৈশাখী পূর্ণিমা হল বৌদ্ধ ধর্মাবলম্বীদের পবিত্রতম উৎসব। এই পুণ্যোৎসব বৈশাখ মাসের পূর্ণিমা তিথিতে উদযাপিত হয়।বৈশাখী পূর্ণিমা দিনটি বুদ্ধের ত্রিস্মৃতি বিজড়িত।</t>
  </si>
  <si>
    <t>ফরিদপুরে এক ধর্মীয় সংঘর্ষে ২৮ জন নিহত হয়; সন্ত্রাসীরা বাড়িঘর ভাঙচুর করে।</t>
  </si>
  <si>
    <t>ইসলামিক খেলাফত সম্পর্কে আপনার কোনো ধারণা আছে? না থাকলে ইসলামিক ইতিহাস ঘেটে পড়ে আসুন তারপর মন্তব্য করবেন।না জেনে-বুঝে মন্তব্য করা কেউই পছন্দ করে না</t>
  </si>
  <si>
    <t>ত্রি-চীবর হলো চার খণ্ডের পরিধেয় বস্ত্র, যাতে রয়েছে দোয়াজিক, অন্তর্বাস, চীবর ও কটিবন্ধনী। এই পোশাক পরতে দেয়া হয় বৌদ্ধ ভিক্ষুদের। প্রতি বছর নির্দিষ্ট সময়ে, সাধারণত আষাঢ়ী পূর্ণিমা থেকে শুরু হওয়া অনুষ্ঠানের মাধ্যমে এই পোশাক বৌদ্ধ ভিক্ষুদেরকে দেয়া হয়।</t>
  </si>
  <si>
    <t>এক ধর্মীয় গোষ্ঠী স্কুলে পড়াশোনা বন্ধ করতে বাধ্য করে, বিক্ষোভে ১৫ জন নিহত হন।</t>
  </si>
  <si>
    <t>ইফতারের ছবি শেয়ার করে আমরা আমাদের ধর্মীয় আনন্দ ভাগ করে নিই এবং আল্লাহর নিয়ামত স্মরণ করি</t>
  </si>
  <si>
    <t>ধর্মপ্রচারক এবং পেন্টেকোস্টাল খ্রিস্টানরা এমন কার্যকলাপ উৎসাহিত করে, যার ফলে মাঝে মাঝে খ্রিস্টান সম্প্রদায়ের কিছু সদস্য হিন্দু সম্প্রদায়ের প্রতি অত্যাচার চালায়।</t>
  </si>
  <si>
    <t>ফেঞ্চুগঞ্জে হিন্দু মালিকের স্টিমার কোম্পানি পুড়িয়ে দেয়া হয়, ইলাসপুরে পুলিন দে-কে হত্যা করা হয়, তাছাড়া অম্বিকা কবিরাজের বাড়ি লুটের পর আগুনে পুড়িয়ে দেয়া হয়।</t>
  </si>
  <si>
    <t>২০১৮ সালের ফেব্রুয়ারিতে এক গোষ্ঠী ধর্মীয় জিগির তুলে রাজনৈতিক দলের সদস্যরা সংখ্যালঘুদের বাড়িতে আগুন দেয়, এতে অন্তত ৩৯ জন নিহত হন।</t>
  </si>
  <si>
    <t>বান্দরবানে উপজাতীয় বৌদ্ধ সম্প্রদায়ের উপাসনালয়ে হামলা চালিয়ে ধর্মীয় চিহ্ন অপমানজনকভাবে ধ্বংস করে উগ্র দল।</t>
  </si>
  <si>
    <t>অভিমান আর বিষণ্ণতা থেকে আত্মহত্যা করলেন সংগীত শিল্পী সাদী মহম্মদ</t>
  </si>
  <si>
    <t>তৎকালীন বাহাদুর শাহ পার্কে মিছিল শেষ হয়। দুপুর ১২ টায় মিছিলে কিছু ব্যক্তি হিংস্র হিন্দু বিদ্বেষী বক্তব্য প্রদান করে, যাদের মধ্যে অনেকেই সরকারি কর্মকর্তা ছিলেন।</t>
  </si>
  <si>
    <t>যখন বাংলাদেশের বহু মানুষ হিন্দু ধর্মের নানা দেব-দেবীতে বিশ্বাস করতেন, তখন ইসলাম ছিল একমাত্র একেশ্বরবাদী ধর্ম, যা এক আল্লাহর উপাসনায় বিশ্বাস করত।</t>
  </si>
  <si>
    <t>গাইবান্ধার একটি হিন্দু মন্দিরে পাথর ছুঁড়ে জানালার কাঁচ ভেঙে ফেলা হয়, পাশাপাশি পুজার থালায় নোংরা ছুঁড়ে দেয়া হয়।</t>
  </si>
  <si>
    <t>মুসলিম উগ্রপন্থীরা ধর্মীয় উগ্রতা ছড়িয়ে অন্য ধর্মের প্রতি বিদ্বেষ ও হিংসা বাড়ায়।</t>
  </si>
  <si>
    <t>আল্লাহ শব্দটির ব্যুৎপত্তি নিয়ে আরব ভাষাতত্ত্ববিদগণ আলোচনা করেছেন, এবং বাসরা বিদ্যালয়ের ব্যাকরণবিদগণ এটিকে "লাহ" থেকে আগত একটি নির্দিষ্ট রূপ হিসেবে বিবেচনা করেন।</t>
  </si>
  <si>
    <t>হিন্দু সম্প্রদায়ের ক্ষতিগ্রস্ত উপাসনালয় গুলো পরিদর্শন শেষে সহিংসতায় নিহত যতন সাহা ও প্রান্ত দাসের পরিবারের হাতে ৫০ হাজার টাকা করে ১ লক্ষ টাকার অনুদান তুলে দেন।</t>
  </si>
  <si>
    <t>কোন ধর্মীয় স্থানের ক্ষতি সাধন, অসম্মান করা, লিখিত বা মৌখিকভাবে ধর্মীয় অনুভূতিতে আঘাত করা, ধর্মীয় অনুষ্ঠানে বিশৃঙ্খলা তৈরি, অসম্মান করার উদ্দেশ্যে ধর্মীয় স্থানে অনধিকার প্রবেশ বা ধর্মীয় বাক্য বা শব্দের বিকৃতি ধর্মীয় অবমাননা বলে গণ্য হবে।</t>
  </si>
  <si>
    <t>ইসলামে চার বিয়ে নিয়ে ও কটুক্তি করেছেন।</t>
  </si>
  <si>
    <t>হিন্দু পুরুষদেরকে মাথায় টুপি এবং মুখে দাঁড়ি রাখা বাধ্যতামুলক করা হয়। মহিলাদের হাতের শাঁখা ভেঙ্গে ফেলে এবং কপালের সিঁদুর মুছে দেয় মুসলিমরা। তাদেরকে কলেমা পড়ে ইসলামে ধর্মান্তকরন করা হয়।</t>
  </si>
  <si>
    <t>বরিশালের এক গ্রামে ধর্মীয় দাঙ্গা শুরু হলে পুলিশ পরিস্থিতি নিয়ন্ত্রণে আনার চেষ্টা চালায়, তবে সহিংসতা দ্রুত ছড়িয়ে পড়ে। অন্তত ৫৪ জন নিহত হন এবং শতাধিক আহত হয়। আক্রান্ত পরিবারগুলো গৃহহীন হয়ে পড়ে। নিরাপত্তার অভাবে অনেক লোক গ্রামের বাইরে পালিয়ে যায়। পুলিশ বাধা সত্ত্বেও সহিংসতা থামাতে ব্যর্থ হয়।</t>
  </si>
  <si>
    <t>সাংঘাতিক ভাই বসতে দিলে ঘুমানো ঠিক না!! দেবোত্তর সম্পত্তির উপর মসজিদ মাদ্রাসা নির্মানের পক্ষে এতো উৎসাহি বিষয় টা সন্দেহ জনক!!!??</t>
  </si>
  <si>
    <t>আমি বিশ্বাস করি শুধু সুইডেন না যারা যারা আল্লাহর দেয়া আমার এই পবিত্র কুরআন শরীফকে অপমান করেছেন সবাইকে আল্লাহ একদিন ধ্বংস করবেন ইনশাল্লাহ</t>
  </si>
  <si>
    <t>২০১১ সালে, সরকার ধর্মীয় কল্যাণ ট্রাস্ট (সংশোধনী) আইন পাস করে, যা ১৯৮৩ সালের খ্রিস্টান ধর্মীয় কল্যাণ ট্রাস্ট অধ্যাদেশ অনুযায়ী নবগঠিত খ্রিস্টান ধর্মীয় কল্যাণ ট্রাস্টের জন্য তহবিল সরবরাহ করে।</t>
  </si>
  <si>
    <t>ঈশ্বরের প্রতি প্রেম ও বিশ্বাস আমাদের আত্মিক শক্তি জোগায়।</t>
  </si>
  <si>
    <t>জানুয়ার গুলা ইচ্ছাকৃতভাবে হিন্দু স্বেচ্ছাসেবীদের পথে মলমূত্র ফেলত, কাঁচের টুকরো ছড়িয়ে দিয়ে পথ নষ্ট করত, এরা ধর্মের নামেই ঘৃণা থেকে করা ইচ্ছাকৃতভাবে ভাংচুর।</t>
  </si>
  <si>
    <t>সিরাজগঞ্জে সংখ্যালঘু হিন্দু সম্প্রদায়ের ওপর পরিকল্পিত হামলায় অন্তত ৪৫ জন নিহত হন। তাদের বাড়িঘর পুড়িয়ে দেওয়া হয়।</t>
  </si>
  <si>
    <t>হিন্দু-বৌদ্ধ-খ্রিস্টান ঐক্য পরিষদের নেতারা বলেছেন, দেশে আগেও সংখ্যালঘুদের ওপর হামলা এবং নির্যাতনের অনেক ঘটনা ঘটেছে।</t>
  </si>
  <si>
    <t>সুনামগঞ্জের শাল্লা উপজেলার নোয়াগাঁও গ্রামের যুবক ঝুমন দাস আপনের ফেসবুক স্ট্যাটাসকে কেন্দ্র করে হিন্দুদের বাড়িঘরে হামলার ঘটনায় তার বিরুদ্ধে ডিজিটাল নিরাপত্তা আইনে মামলা হয়েছে।</t>
  </si>
  <si>
    <t>অনেক ভয় ছিল যে কখনো জান্নাতে যেতে পারব কিনা, আপনার ভিডিও শুনে অনেক কনফিডেন্স বেড়ে গেছে আলহামদুলিল্লাহ।</t>
  </si>
  <si>
    <t>বাংলাদেশে জুমার নামাজের পর রাস্তায় নেমে ইসলামী সংগঠনগুলো ধর্মদ্রোহীদের বিরুদ্ধে জ্বালাময়ী শ্লোগান তোলে, পোস্টার ছিঁড়ে ফেলে এবং ধর্ম অবমাননার দায়ে প্রতিশোধের হুমকি দেয়।</t>
  </si>
  <si>
    <t>অবমাননা একজন মুসলমান হিসেবে কিছুতেই মেনে নেওয়া যায় না |কুমিল্লায় পূজা মন্ডপে মূর্তির পায়ে পবিত্র কুরআন রাখায় তীব্র নিন্দা জানাচ্ছি,,এবং দৃষ্টান্তমূলক শাস্তির দাবি।</t>
  </si>
  <si>
    <t>২০১৩ সালে আগস্ট থেকে সেপ্টেম্বরের মধ্যে শেরপুর জেলায় হিন্দু ও মুসলমান দুটি প্রধান ধর্মীয় সম্প্রদায়গুলির মধ্যে দ্বন্দ্ব ঘটেছিল। এই দাঙ্গার ফলে ৪২ জন মুসলমান ও ২০ হিন্দুসহ কমপক্ষে ৬২ জন মারা গিয়েছিল</t>
  </si>
  <si>
    <t>এক হিন্দু ভুক্তভোগী বলেন, 'আমাদের মন্দিরে হামলা হলে আমরা কার কাছে যাব?</t>
  </si>
  <si>
    <t>বহুঈশ্বরবাদী আরবরা সৃষ্টিকর্তা বা তাদের সর্বোচ্চ দেবতাকে বুঝাতে এই শব্দটি ব্যবহার করতো।[২০][২১] কিন্তু একক এবং অদ্বিতীয় ঐশ্বরিক শক্তি হিসেবে নয়। বরং পৃথিবী-সৃষ্টিকারী এবং বৃষ্টি-দানকারী সত্তা হিসেবে।</t>
  </si>
  <si>
    <t>প্রাচ্যের অক্সফোর্ড খ্যাত ঢাকা বিশ্ববিদ্যালয়ে ২০২২ সালের টিএসসিতে তারাবির নামাজ আদায়কালে মুসল্লিদের উপর আক্রমণ,</t>
  </si>
  <si>
    <t>নেফরা শ্রী শ্রী দুর্গা মন্দিরে প্রায় ৫-৭শ’ লোক এসে গ্রিল টিন, প্রতিমা ও বাড়ি ভাঙচুর করে এবং আগুন ধরিয়ে দেয়।</t>
  </si>
  <si>
    <t>২০১৬ সালের জানুয়ারিতে এক মন্দিরে আগুন দিয়ে ৩০ জন নিহত হয় এবং হাজারো মানুষ আহত হয়।</t>
  </si>
  <si>
    <t>আল্লাহ কুরআনে বলেছেন যে, তিনি মানবজাতিকে আধ্যাত্মিক শিক্ষা দিয়েছেন যাতে তারা সব ধর্মের প্রতি সহানুভূতি এবং ভালোবাসা অনুভব করে।</t>
  </si>
  <si>
    <t>দলের সবচেয়ে খরুচে বোলার শামি ৩.৫ ওভারে ৪৩ রান দেওয়ার পর ধর্মীয় বিদ্বেষের শিকার হন, যদিও তিনি বিশ্বকাপ দলের একমাত্র মুসলিম ক্রিকেটার।</t>
  </si>
  <si>
    <t>মাদ্রাসা ও মসজিদে জনসভার অনুমতি দেওয়া হয়; রামগঞ্জ পুলিশ বলেছে জনসভা হবে মসজিদ সংলগ্ন আমতলি মাঠে।</t>
  </si>
  <si>
    <t>প্রাণের শহর কুমিল্লায়,একদল উগ্রপন্থী মুসলমানদের পবিত্র ধর্মগ্রন্থ আল কুরআনকে অবমাননা করার প্রতিবাদে আগামি জুমাবার,জুমা সালাত শেষে কাশিনগর কেন্দ্রীয় মসজিদ থেকে প্রতিবাদ মিছিল</t>
  </si>
  <si>
    <t>এধরণের কোনো ধর্মীয় জমায়েত এবং রাজনৈতিক, সাংস্কৃতিক ও সামাজিকসহ কোনো জমায়েত যেনো দেশের আর কোথাও এখন হতে না পারে, সে ব্যাপারে প্রশাসন কঠোর ব্যাবস্থা নেবে।</t>
  </si>
  <si>
    <t>দাঙ্গার পর মুসলমানদের মধ্যে ঘৃণা বেড়ে গেছে।</t>
  </si>
  <si>
    <t>মানুষ ক্রমশ বেশি স্বার্থপর হয়ে উঠছে।রাষ্ট্রসঙ্ঘ,শক্তিশালী দেশের নেতারা তালিবান দের এই ভাবে গায়ের জোরে দেশ দখল মেনে নিচ্ছে!!! কোন দিকে আমরা এগোচ্ছি,আমরা তো মনে হচ্ছে আবার পিছনের দিকে এগোচ্ছি!</t>
  </si>
  <si>
    <t>১ আগস্ট, পিরোজপুর সদর উপজেলার কাথুলিয়া এলাকায় শীতলা মন্দিরে একটি প্রতিমা ভাঙচুর করার অভিযোগে ৪ কিশোরকে আটক করেছে পুলিশ। তাদের সবার বয়স ১২ থেকে ১৭ বছর।</t>
  </si>
  <si>
    <t>একটি ধর্মনিরপেক্ষ রাষ্ট্র দাবি করে যে সেই রাষ্ট্রে, ধর্ম নির্বিশেষে তার সমস্ত নাগরিকের সাথে সমান আচরণ করা হয় এবং দাবি করে যে একজন নাগরিকের ধর্মীয় বিশ্বাস, সংযুক্তি বা অন্য পরিচয়ের উপর ভিত্তি করে অগ্রাধিকারমূলক আচরণ এড়ানো সেই রাষ্ট্র এড়িয়ে চলে।</t>
  </si>
  <si>
    <t>ধর্মবিরোধিতা মানবতার প্রতি অবমাননার চিহ্ন এবং সামাজিক অগ্রহণযোগ্যতা।</t>
  </si>
  <si>
    <t>কলা অনুষদের এত পাওয়ার!!তাহলে আরবী বিভাগেরও নিজস্ব পাওয়ার বজায় রাখা উচিত।কোনো উত্তরই দেওয়া উচিত না।</t>
  </si>
  <si>
    <t>সিরিয়ার গৃহযুদ্ধে ধর্মীয় বিভক্তির কারণে লক্ষাধিক মানুষ প্রাণ হারিয়েছে, যার মধ্যে শিয়া ও সুন্নি মুসলিমদের মধ্যে সংঘর্ষ অন্যতম কারণ।</t>
  </si>
  <si>
    <t>মোহাম্মদ জাহাঙ্গীর ইসলাম, আকাশ সাহা নামের এক ফেইক ফেইসবুক আইডি ওপেন করে ইসলাম ধর্ম নিয়ে বাজে মন্তব্য করে।</t>
  </si>
  <si>
    <t>কোনো ধর্মই মানুষ হত্যা বা ঘৃণা ছড়ানোর শিক্ষা দেয় না। বরং প্রতিটি ধর্মই শান্তি, সহনশীলতা ও মানবিকতার কথা বলে।</t>
  </si>
  <si>
    <t>২০১৫ সালের ২৬ ফেব্রুয়ারি, ধর্মীয় উগ্রবাদীরা লেখক অভিজিৎ রায়কে ঢাকায় কুপিয়ে হত্যা করে।</t>
  </si>
  <si>
    <t>খেমার রোজ চ্যামরা চ্যাম মুসলমানদের সামাজিক কাঠামো ভাঙতে নেতাদের হত্যা করে এবং তাদের ধর্মীয় অনুষ্ঠান ও সংস্কৃতি বন্ধ করে মুসলিম ও নৃতাত্ত্বিক পরিচয় মুছে ফেলার চেষ্টা চালায়।</t>
  </si>
  <si>
    <t>বখতিয়ারের অশ্বারোহীরা যখন হিন্দু রাজাদের পরাভূত করেন তখন স্থানীয় বৌদ্ধরা মুসলিমদেরকে বর্ণবাদী হিন্দুদের নিপীড়ন থেকে তাদের উদ্ধারকর্তা হিসেবেই দেখেছেন।</t>
  </si>
  <si>
    <t>২০১৯ সালের অক্টোবর মাসে এক গোষ্ঠী ধর্মীয় বই বিতরণকারীদের ওপর হামলা চালিয়ে ২২ জন প্রাণ হারায়; পরিবারগুলো গ্রাম ত্যাগ করতে বাধ্য হয়।</t>
  </si>
  <si>
    <t>ঢাকায় ১ লক্ষ হিন্দু খোলা আকাশের নিচে আশ্রয় নিয়েছে, গত সপ্তাহে ১০০০ এর বেশি নিহত ও আত্মহত্যার ঘটনা ঘটেছে ধর্মীয় সহিংসতায়, যা বিভীষিকাময় এক মানবিক বিপর্যয়ে রূপ নিয়েছে।</t>
  </si>
  <si>
    <t>ফেব্রুয়ারির ১২ তারিখে চট্টগ্রাম শহরে গণহত্যা শুরু হয়।সীতাকুণ্ডে মহাশিবরাত্রি উপলক্ষে যে সকল হিন্দু তীর্থযাত্রী সমাবেত হয়েছিল তাদের উপর মুসলিম জনতা আক্রমণ করে। এটি সীতাকুন্ড গণহত্যা নামে পরিচিত।</t>
  </si>
  <si>
    <t>আহমেদাবাদে গণকবরে ছয়টি নরকঙ্কাল মিলেছে, ধারণা করা হচ্ছে ২০০২ সালের সাম্প্রদায়িক দাঙ্গায় ধর্মীয় পরিচয়ের কারণে নিহত মুসলিমদের দেহাবশেষ।</t>
  </si>
  <si>
    <t>নোয়াখালীর সমগ্র হিন্দু জনগোষ্ঠীর সর্বস্ব লুট করে নেয়া হয়েছিল এবং তাদের কে জোরপূর্বক মুসলমান বানানো হয়েছিল।[৪৪] কংগ্রেস সভাপতি আচার্য্য কৃপালনির স্ত্রী সুচেতা কৃপালনি নোয়াখালীতে নারী উদ্ধার করতে যান। দাঙ্গার খলনায়ক গোলাম সরোয়ার ফতোয়া দেয়, যে সুচেতাকে ধর্ষণ করতে পারবে তাকে বহু টাকা দেওয়া হবে এবং গাজী উপাধিতে ভূষিত করা হবে। সুচেতা সবসময় পটাশিয়াম সাইনাইড ক্যাপসুল গলায় ঝুলিয়ে রাখতেন।[১০]</t>
  </si>
  <si>
    <t>নরসিংদীর এক গ্রামে হিন্দু-মুসলিম দাঙ্গায় ৩৮ জন নিহত হন। পুলিশ এলাকা ঘিরে ধরে পরিস্থিতি নিয়ন্ত্রণের চেষ্টা করলেও ভিড় কন্ট্রোল করতে পারেনি। অনেক পরিবার গ্রাম ছেড়ে পালায়।</t>
  </si>
  <si>
    <t>শত কিছুর পর বারবার ফিরে আসতে চাই আল্লাহর রহমতের ছায়ায়। আমার রব ক্ষমাশীল। ধন্যবাদ প্রিয় চ্যানেল Bassera এত সুন্দর করে উপস্থাপন করার জন্য।</t>
  </si>
  <si>
    <t>উনার প্রত্যেকটা পোষ্ট ইসলাম ধর্ম বিরোধী উগ্রবাদ সম্পন্ন! যার মানে উনি হয়তো কোনো ভাবে কোনো ধর্মান্ধ দ্বারা আঘাত পেয়েছেন!</t>
  </si>
  <si>
    <t>কুষ্টিয়ায় একটি ধর্মীয় ইস্যুকে কেন্দ্র করে হিন্দু ও মুসলিম সম্প্রদায়ের মধ্যে সংঘর্ষ বাধে। সংঘর্ষে ২৮ জন নিহত হন এবং ব্যাপক ভাঙচুর হয়। আহত হয় বহু মানুষ।</t>
  </si>
  <si>
    <t>কেউ যদি বাংলাদেশের অভ্যন্তরীণ ধর্মীয় সম্প্রীতিতে হস্তক্ষেপ করতে চায় বা সাম্প্রদায়িক উস্কানি দেয়, তাহলে সেটা শুধু আমাদের জন্য নয়, তাদের নিজের জন্যও অশুভ পরিণতি বয়ে আনবে। বাংলাদেশ সব ধর্ম ও জাতিগোষ্ঠীর জন্য সমান মর্যাদা নিশ্চিত করতে দৃঢ় প্রতিজ্ঞ।</t>
  </si>
  <si>
    <t>আল্লাহ যারা এই ভিডিও দেখবে, শুনবে ও আমল করবে, সবাইকে হেদায়েত দান করুন এবং জান্নাতি মেহমান হিসেবে গ্রহণ করুন। শায়েখের জন্যও নেক হায়াত কামনা করি।</t>
  </si>
  <si>
    <t>এরপরও কি এদেশের হিন্দু সম্প্রদায়ের নেতারা দুঃখপ্রকাশের সৌজন্যটুকুও রক্ষা করেছেন? এসব যে কিছু লম্পট দুষ্কৃতকারীর কাজ, এর প্রতি যে বৃহত্তর হিন্দুসমাজের কোনো সমর্থন নেই দুটো বাক্য খরচ করে একথাটা তাদের কেউ কি বলেছেন?</t>
  </si>
  <si>
    <t>নড়াইলের লোহাগড়া উপজেলায় দীঘলিয়া নামের যে গ্রামে সাম্প্রদায়িক হামলার ঘটনা ঘটে গত শুক্রবার, সেই গ্রামটি হিন্দু অধ্যূষিত।</t>
  </si>
  <si>
    <t>বাংলাদেশ সংবিধানে উল্লেখ আছে যে, " রাষ্ট্র হিন্দু, বৌদ্ধ, খ্রিস্টান ও অন্যান্য ধর্মের অনুশীলনে সমান মর্যাদা এবং সমান অধিকার নিশ্চিত করবে"।</t>
  </si>
  <si>
    <t>২০১৮ সালের আগস্ট মাসে এক গোষ্ঠী ধর্মীয় গোষ্ঠীর বিরোধের কারণে বিদ্যালয়ে সংঘর্ষ ঘটে; এতে ২২ জন নিহত হয়।</t>
  </si>
  <si>
    <t>ধর্মীয় ভিন্নমতের কারণে এক চিকিৎসককে কেটে হত্যা করা হয়, তার স্ত্রী মানসিকভাবে বিপর্যস্ত হয়ে আত্মহত্যা করে; ঘটনায় মোট ১১ জন নিহত।</t>
  </si>
  <si>
    <t>দাদা/ভাই আপনি যেই হোন না কেন ইসলাম নিয়ে আপনার এইরকম অশালীন মন্তব্য আমরা কখনো মেনে নিবো না।</t>
  </si>
  <si>
    <t>২১ মার্চ ২০২৫ সিরাজগঞ্জের শাহজাদপুর উপজেলায় রাধাগোবিন্দ মন্দিরে দুর্বৃত্তরা রাতে ঢুকে কাঠের দরজা ভেঙে রাধা এবং কৃষ্ণের মূর্তি মাটিতে ফেলে ভাঙচুর করে</t>
  </si>
  <si>
    <t>যে সব মানুষ অন‍্য ধর্মের মানুষের ধর্মীয় অনুভূতিতে আঘাত করে তাদের প্রত‍্যেকেই আমি ধিক্কার জানাই।</t>
  </si>
  <si>
    <t>খ্রিস্টান সম্প্রদায়ের কিছু সদস্য ধর্মান্তরের নামে সামাজিক ঐক্য ভাঙার চেষ্টা চালায়।</t>
  </si>
  <si>
    <t>মুসলিমদের বিরুদ্ধে হিন্দুদের হামলা বেড়ে চলে গেছে</t>
  </si>
  <si>
    <t>ছবি-ভিডিও ভাইরালের পর চাঁদপুর, চট্টগ্রাম ও কক্সবাজারে মন্দিরে হামলা হয়, যা ফেসবুক কর্তৃপক্ষের যাচাইহীন প্রচারের ফল হতে পারে।</t>
  </si>
  <si>
    <t>৬ই ফেব্রুয়ারি মুসলিমদের ৩০০জনের একটা দল আখরা নামের গ্রামে আক্রমণ করে। গ্রামের মন্দিরের পুরোহিত পালিয়ে গেলে তারা সকল ছবি ও মূর্তি ধ্বংস করে।</t>
  </si>
  <si>
    <t>আমরা সবাই জান্নাতুল ফেরদৌসের মেহমান হতে চাই। আমরা সবাই জান্নাতে দেখা করব। ইনশাআল্লাহ।</t>
  </si>
  <si>
    <t>হিন্দু ধর্মাবলম্বীরা প্রায়শই অন্য ধর্মের প্রতি অবজ্ঞাসূচক মনোভাব দেখায় যা সমাজে ধর্মীয় অশান্তি সৃষ্টি করে।</t>
  </si>
  <si>
    <t>সো বিজ্ঞানের মত একটা বিষয়ে নেহায়েত তাকে ছাড়া আলোচনা করাটা তার সাথে বেয়াদপের সামিল বলে আমি মনে করি (বিষেষ করে মুসলিমদের ক্ষেত্রে).</t>
  </si>
  <si>
    <t>একজন সুস্থ মস্তিষ্কের মানুষ কখনোই কারো ধর্ম বা বিশ্বাস নিয়ে অসম্মানজনক মন্তব্য করতে পারে না, কারণ ধর্ম প্রতিটি মানুষের ব্যক্তিগত বিশ্বাস এবং অনুভূতির একটি অতি গুরুত্বপূর্ণ অংশ। সবাইকে পরস্পরের ধর্ম এবং বিশ্বাসের প্রতি শ্রদ্ধা রাখতে হবে।</t>
  </si>
  <si>
    <t>ধর্মীয় গোষ্ঠী এক শিশু মন্দিরে হত্যা করে, প্রতিবাদে সংঘর্ষে ২০ জন নিহত হন।</t>
  </si>
  <si>
    <t>আল্লাহ, আমাদের জান্নাতের নেয়ামত থেকে বঞ্চিত করো না। আমাদের পালনকর্তা হিসাবে সঠিক পথ প্রদর্শন কর এবং সঠিক পথে চলার তৌফিক দাও।</t>
  </si>
  <si>
    <t>মুসলিমরা নারীদের শিক্ষাঙ্গনে হামলা চালিয়ে প্রধান কেরানী অবনী গুহরাকে হত্যা ও যোগজীবন বসুকে হত্যা চেষ্টা করে।</t>
  </si>
  <si>
    <t>নূহ-তে হিন্দু ও মুসলিম বহু বহু বছর ধরে শান্তিতে পাশাপাশি বসবাস করছেন। এখন মনে হচ্ছে কেউ বা কারা সেই সম্পর্কের মধ্যে ইচ্ছে করে বিষ ঢেলে দিয়েছেন!</t>
  </si>
  <si>
    <t>মুসলমানদের কোনো উৎসব নিয়ে এ জাতীয় বাক্য উচ্চারিত হতে শোনা যায়নি। আর পূজার বিষয়টি সম্পূর্ণই ধর্মীয় বিশ্বাসনির্ভর। যা সংশ্লিষ্ট ধর্মের লোকেরা তাদের নিজস্ব ধর্মীয় বিশ্বাস ও নীতির ভিত্তিতে করে থাকে।</t>
  </si>
  <si>
    <t>আমি যিশুকে ঈশ্বরের পুত্র হিসেবে মানি এবং প্রতিদিন বাইবেল পাঠ করি। আমার জীবন পুরোপুরি বদলে গেছে এবং এখন আমার জীবনে সুখ ও শান্তি আছ। ধন্যবাদ "যীশু", আমার জীবন আনন্দে ভরিয়ে তোলার জন্য।</t>
  </si>
  <si>
    <t>গতকাল রোববার বিকেলে ওই চার কিশোর পার্শ্ববর্তী হলদিয়া গ্রামে ঘুরতে গিয়ে নির্জন স্থানে থাকা হলদিয়া সার্বজনীন শীতলা মন্দিরের একটি প্রতিমার হাত ও পা ভেঙে ফেলে।</t>
  </si>
  <si>
    <t>পশ্চিমবঙ্গ বৈদিক অ্যাকাডেমির প্রধান নবকুমার ভট্টাচার্য ব্যাখ্যা করছিলেন যে হিন্দু ধর্মে যে পাঁচটি সম্প্রদায় রয়েছে, তারই অন্যতম বৈষ্ণব সম্প্রদায়। অন্য সম্প্রদায়গুলি হলো শৈব, শাক্ত, সৌর, এবং গাণপত্য।</t>
  </si>
  <si>
    <t>কক্সবাজারের রামু কিংবা ব্রাহ্মণবাড়িয়ার নাসিরনগরেও একই প্রবণতা দেখা যায়। প্রথমে ফেসবুকে এরপরে মুখে মুখে ঘটনা ছড়িয়ে পড়ে। যার পরিণতি হয়, সংখ্যালঘুদের উপর ব্যাপক বিদ্বেষ এবং এর পথ ধরে হামলা ও লুটপাট।</t>
  </si>
  <si>
    <t>ধর্ম অবমাননার অভিযোগে লালমনিরহাটে একজনকে পুড়িয়ে মারা হলো, এ বিষয়ে দৃষ্টি আকর্ষণ করা হলে হাছান মাহমুদ বলেন, ‘সেটির ব্যাপারে সরকার কঠোর পদক্ষেপ গ্রহণ করেছে।</t>
  </si>
  <si>
    <t>হিন্দু ধর্ম সঠিক জীবনযাপন ও আধ্যাত্মিক উন্নতির পথ নির্দেশ করে।</t>
  </si>
  <si>
    <t>অরোমো-আমহারাতে জাতিগত ও ধর্মীয় বিভেদের কারণে দুই সম্প্রদায়ের মধ্যে সহিংস সংঘর্ষ হয়, যাতে শতাধিক মানুষ নিহত হন।</t>
  </si>
  <si>
    <t>দেশের যত মন্দিরে হামলা ও প্রতিমা ভাঙচুরের ঘটনা ঘটেছে, সেসব হয়েছে বিএনপির আন্দোলন সংগ্রামকে অন্যদিকে নেওয়ার জন্য, বিএনপির নেতাকর্মীদের নামে মামলা দেওয়ার জন্য।</t>
  </si>
  <si>
    <t>সিলেটের একটি গির্জার ভিতরে ধর্মীয় প্রতীক ভাঙচুর করে দেয়ালে বিদ্বেষমূলক লেখা লেখা হয়, যা খ্রিস্টান সম্প্রদায়ের মাঝে সন্ত্রাসের বোধ তৈরি করে।</t>
  </si>
  <si>
    <t>হাজারো হিন্দু নারী পুরুষকে নির্যাতন করে কটনমিল চত্বরে আশ্রয় নিতে বাধ্য করা হয় ধর্মীয় বিদ্বেষে উগ্রপন্থীরা হিন্দু নারীদের ওপর বর্বর নির্যাতন চালিয়ে আনন্দ প্রকাশ করে।</t>
  </si>
  <si>
    <t>দ্বিতীয় রমাদানে অদৃশ্য শক্তির ষড়যন্ত্র বাস্তবায়িত হয়েছে। সামান্য কুরআন তিলাওয়াতের অনুষ্ঠানও সমালোচনার মুখে পড়ে, ক্যাম্পাসে একসাথে ইফতার করলে জামাত-শিবির এবং জঙ্গি বলা হচ্ছে।</t>
  </si>
  <si>
    <t>Mahakumbh Stampede: মহাকুম্ভে পদপিষ্ট হয়ে ৩০জনের মৃত্যু, জানালেন ডিআইজি, কতজনকে শনাক্ত করা গেল?</t>
  </si>
  <si>
    <t>কোরআনে মুসলিমদের প্রথম কেবলা সম্পর্কে বলা হয়েছে, এবং মুসলিমরা এটিকে শ্রদ্ধার সাথে স্মরণ করে আল্লাহর নিদর্শন হিসেবে।</t>
  </si>
  <si>
    <t>ভোর পাঁচটার দিকে আদমজী পাট কলের ২০,০০০ অস্ত্রধারী উন্মত্ত মুসলিম শ্রমিক ২নং ঢাকেশ্বরী কটন মিলে হামলে পড়ে এবং সেখানে হিন্দুদের উপর বিরামহীন হত্যা,লুটপাট,অপহরণ,ধর্ষণ চালায় ।[৩০] ৭০০এরও বেশি হিন্দু হতভাগ্য আবালাবৃদ্ধবণিতাকে নির্মম ভাবে হত্যা করে।</t>
  </si>
  <si>
    <t>যারা ইসলাম নিয়ে কটুকথা বলে তাদের গর্দান কেটে দেওয়া গুনাহের কাজ নয়..</t>
  </si>
  <si>
    <t>১৯৪৬ খ্রিস্টাব্দের অক্টোবরে নোয়াখালী ও টিপ্পেরা জেলায় ঘটা গণহত্যা গ্রেট ক্যালকাটা কিলিংসের একটি কলঙ্কিত পরবর্তী ঘটনা হিসেবে মনে করা হয়। কেউ কেউ দাবি করেন এর ফলে নোয়াখালীতে হিন্দু জনসংখ্যা প্রায় ধ্বংস হয়ে গিয়েছিল।</t>
  </si>
  <si>
    <t>মুসলিমরা একত্রে শান্তিপূর্ণ প্রতিবাদ করা উচিত, যেন উম্মাহর ঐক্য বজায় থাকে এবং ইসলাম ধর্মের সম্মান রক্ষা হয় আল্লাহর সন্তুষ্টির জন্য।</t>
  </si>
  <si>
    <t>নড়াইলের কালিয়ায় মন্দিরে ঢুকে প্রাচীন প্রতিমাগুলো লোহার রড দিয়ে আঘাত করে মাথা ও হাত ভেঙে দেয়।</t>
  </si>
  <si>
    <t>চাঁপাইনবাবগঞ্জে ধর্মীয় গোষ্ঠীর মধ্যে সংঘর্ষে ৪৪ জন নিহত হন। পুলিশ পরিস্থিতি নিয়ন্ত্রণে ব্যর্থ হলেও সরকার সবাইকে শান্ত থাকার নির্দেশ দেয়। বহু সংখ্যালঘু পরিবার নিরাপত্তার জন্য গ্রাম ছেড়ে চলে যায়।</t>
  </si>
  <si>
    <t>মারিচঝাঁপির ঘটনা ১৯৭৯ সালে দেশভাগ-পরবর্তী বাংলা থেকে আসা শরণার্থীদের মারিচঝাঁপি দ্বীপের (সুন্দরবন, পশ্চিমবঙ্গ) সুরক্ষিত বনভূমিতে গড়া বসতি উচ্ছেদ করার ঘটনা। এই শরণার্থীরা ওড়িশা, মধ্যপ্রদেশ ও ছত্তিশগড়ে অবস্থিত দণ্ডকারণ্যের শিবির থেকে এখানে এসেছিল।[১][২] সতি উচ্ছেদ করার সময় পুলিশের সঙ্গে বসতি স্থাপনকারীদের মধ্যে সংঘর্ষ ঘটে, অর্থনৈতিক অবরোধ দেওয়া হয় এবং এতে অনেক প্রাণহানি ঘটে।</t>
  </si>
  <si>
    <t>মন্দির কমিটির সভাপতি শংকর চন্দ্র হালদার জানান, গভীর রাত পর্যন্ত অবস্থানের পর সকালের ঝাড়ামোছায় কার্তিক প্রতিমার মাথা ও বাম হাত বিচ্ছিন্ন পাওয়া যায়; পুলিশ এসে তাৎক্ষণিক মেরামত করে।</t>
  </si>
  <si>
    <t>ফরিদপুরে দুই খৃষ্ট ধর্মাবলম্বীর খুনের ঘটনায় মার্কিন দূতাবাসের শোক</t>
  </si>
  <si>
    <t>হতাশা থেকেই মানুষ জীবনের প্রতি বিতৃষ্ণ হয়ে ওঠে। অধৈর্য হয়ে নিজের মৃত্যু কামনা করে থাকে। নবীজি সাল্লাল্লাহু আলাইহি ওয়াসাল্লাম তার উম্মতকে জীবন থেকে নিরাশ হতে এবং মৃত্যু কামনা করতে স্পষ্ট নিষেধ করেছেন।</t>
  </si>
  <si>
    <t>ধর্ম অবমাননার অভিযোগে এখনো মুসলিমপ্রধান অঞ্চলে হত্যার ঘটনা ঘটে, যেখানে শাস্তি হিসেবে মৃত্যুদণ্ড প্রচলিত, যা ধর্মীয় উগ্রতা ও মানবাধিকারের বিপরীতে এক নির্মম দৃষ্টান্ত।</t>
  </si>
  <si>
    <t>মানুষ যা মনেপ্রাণে বিশ্বাস করে তা বলতে এখন আর দ্বিধা করে না। সেটা রাজনীতির ব্যাপারেই হোক, আর ধর্মীয় ব্যাপারেই হোক।</t>
  </si>
  <si>
    <t>সনাতন অর্থ যদি পুরনো হয়, তাহলে পৃথিবীর প্রথম মানুষের ধর্মও পুরনো হবে—সে কি হিন্দু না মুসলিম? হিন্দু ভাইদের কাছে প্রশ্ন।</t>
  </si>
  <si>
    <t>কুরআন ইয়াহুদ ও নাসারাকে আহবান করেছে কুরআনের সম্পদ সীনায় ধারণের জন্য এবং কুরআনের আলোতে আলোকিত হওয়ার জন্য। ব</t>
  </si>
  <si>
    <t>ইসলাম কতটা সুন্দর! কতশত নারী শুধু অপেক্ষাই করছে এই ইসলামিক খেলাফতের জন্য। কতশত নারী-পুরুষের স্বপ্ন এই ইসলামিক খেলাফত!</t>
  </si>
  <si>
    <t>বাংলাদেশে মালয়পাড়ায় জামাত-বিএনপির কর্মীরা হিন্দুদের উপর হামলা চালিয়ে ১৩০টি ঘর ভাঙচুর ও ১০টি ঘরে আগুন দেয়। পালানোর আগে তারা ফের হামলার হুমকি দেয়।</t>
  </si>
  <si>
    <t>লালমনিরহাট জেলায় বিরোধী দল দ্বারা হুমকি দেওয়া হয়েছিল, ভোট না দেওয়ার জন্য। প্রশাসন থেকে নিরাপত্তা না পাওয়ায় সেখানের হিন্দু ধর্মাবলম্বীরা ভোট দিতে যায়নি।</t>
  </si>
  <si>
    <t>গোয়ায় পর্তুগিজদের অধীনে হিন্দুরা অত্যন্ত নিপীড়নের মুখোমুখি হয়েছিল। ভিকার জেনারেল মিগুয়েল ওয়াজ ১৫৪৩ সালে গোয়া থেকে পর্তুগালের রাজা জন তৃতীয়কে চিঠি লিখে বলেছিল যে গোয়াতেও স্পেনের মত ইনকুইজিশন প্রতিষ্ঠা করা হোক।</t>
  </si>
  <si>
    <t>যখন সমাজে সম্প্রীতি থাকে, তখন ধর্ম পালন আরও সুন্দর ও অর্থবহ হয়।</t>
  </si>
  <si>
    <t>১২ ফেব্রুয়রি তারিখে,কুমিল্লা-ময়মনসিংহ রুটের আখাউড়া ও ভৈরববাজারের মধ্যকার যাত্রাপথের সকল হিন্দু যাত্রীদের খুঁজে খুঁজে পাশবিক উপায়ে হত্যা করে মুসলিমরা।</t>
  </si>
  <si>
    <t>মহানবী (সা.)-কে নিয়ে ইসলামবিদ্বেষী মুখপাত্রদের নোংরা কটূক্তি ইসলাম ও মুসলমানদের প্রতি ঘৃণার জঘন্য উদাহরণ।</t>
  </si>
  <si>
    <t>১৬ অক্টোবরে কুমিল্লায় এক সংবাদ সম্মেলনে বাংলার মুখ্যমন্ত্রী হোসেন শহীদ সোহ্‌রাওয়ার্দী নোয়াখালীতে হিন্দুদের উপর চলতে থাকা পাশবিক গণ হত্যা, ধর্ষণ, জোরপূর্বক ধর্মান্তরের কথা স্বীকার করেন।</t>
  </si>
  <si>
    <t>এই সংবাদকর্মীর বাবা নাকি একজন মুসলিম, তারপরে-ও কেনো মৃত একজন মানুষ কে হিন্দু বানানোর চেষ্টা করা হচ্ছে বুজতে পারছি না।</t>
  </si>
  <si>
    <t>এদিকে প্রধানমন্ত্রী এদিন মন্ত্রি পরিষদের নিয়মিত বৈঠকেও কুমিল্লায় গুজবকে কেন্দ্র করে বিভিন্ন পূজা মন্ডপে হামলা ও গোলাযোগ সৃষ্টিকারিদের বিরুদ্ধে কঠোর শান্তিমূলক ব্যবস্থা গ্রহণের জন্য স্বরাষ্ট্রমন্ত্রীকে নির্দেশ দেন।</t>
  </si>
  <si>
    <t>ধর্মবিরোধী পোস্ট করায় 'সনাতনী_আর্মি_ভার্সন ৩.০' নামক পেজ থেকে ৫টি কন্টেন্টসহ পেজ চাপা দেওয়া হলো। নাস্তিকের কোনো ছাড় নেই।</t>
  </si>
  <si>
    <t>ওরা মন্দির বানিয়ে মুসলমানদের এলাকা দখল করছে। প্রথমে উৎসব ঢুকায়, পরে মসজিদ ঠেকায়, শেষে মুসলমানদের তাড়ায়। এটাই ওদের ধর্মীয় ষড়যন্ত্র আর অসাম্প্রদায়িকতার ভণ্ডামি।</t>
  </si>
  <si>
    <t>আমরা ধর্মের নামে সমাজের মধ্যে অপমান এবং বিভ্রান্তি প্রসারিত করে আসতে দেখেছি। এটি সমাজের একটি প্রধান অপরাধ এবং আমাদের আইনব্যবস্থাকে বিপর্যস্ত করে দেয়।</t>
  </si>
  <si>
    <t>জান্নাতের কথা শুনে কল্পনা করাও বৃথা মনে হয় কারণ জান্নাত কি কোন অন্তর কল্পনাও করতে পারবে না কিন্তু তবু একটা প্রশান্তি মনে হয়।</t>
  </si>
  <si>
    <t>১৫৭২ সালে, নিম্নলিখিত শহরগুলিতে - প্যারিস, আইক্স, বোর্দো, বুর্জেস, লিওঁ, মিউ, অরলিন্স, রুয়েন, তুলুজ এবং ট্রয়েসে সাম্প্রদায়িক সহিংসতার সময় হাজার হাজার প্রোটেস্ট্যান্ট ক্যাথলিকদের দ্বারা নিহত হন।</t>
  </si>
  <si>
    <t>ঝিনাইদহে একটি সাম্প্রদায়িক ইস্যু নিয়ে হিন্দু ও মুসলিম সম্প্রদায়ের মধ্যে মারামারি ছড়িয়ে পড়ে। সংঘর্ষে দুই পক্ষের সহিংসতা বেড়ে যায় এবং অন্তত ২৭ জন নিহত হন। নিহতদের মধ্যে নারী ও শিশুদের সংখ্যাও রয়েছে। এ ঘটনায় গ্রামে ব্যাপক ভাঙচুর হয়, অনেক পরিবার স্থান ছেড়ে পালিয়ে যেতে বাধ্য হয়।</t>
  </si>
  <si>
    <t>তারা অজ্ঞাতবশত ভিন্ন ধারণা পোষণ করেছে, তবে জানলে শান্তি ও সৌন্দর্যের এই ধর্ম বুঝতে পারত। আল্লাহ সর্বশক্তিমান, আমরা প্রার্থনা করি সবাইকে সত্য ও কল্যাণের পথ দেখান।</t>
  </si>
  <si>
    <t>কক্সবাজার জেলার পেকুয়া ইউনিয়নের বিশ্বাসপাড়ার পূজামণ্ডপ ও আরেকটি পূজামণ্ডপে প্রতিমা এবং স্থানীয় হরিমন্দিরে লুটপাট ও ভাঙচুরের পাশাপাশি ১৬টি বসতঘরও লুট করা হয়।[৩৬] ১৩ই অক্টোবর বুধবার সন্ধ্যায় একদল লোক মিছিল নিয়ে এসে হামলা ও ভাংচুর চালায়। খবর পেয়ে পুলিশ ঘটনাস্থলে পৌঁছালে হামলাকারীদের সঙ্গে পুলিশের ধাওয়া পাল্টা-ধাওয়ার ঘটনা হয়। পরিস্থিতি নিয়ন্ত্রণে আনতে পুলিশ ফাঁকা গুলি ছোড়ে।</t>
  </si>
  <si>
    <t>ইসলামের মৌলিক বিধানগুলো।মানব সৃষ্টির শুরু থেকে চলে আসছে। তবে তা পলনের পদ্ধতি ও সময়ে নানাবিধ পার্থক্য ছিলো।</t>
  </si>
  <si>
    <t>বাংলাদেশে একাধিক মন্ত্রী বলেছেন, ধর্ম অবমাননার গুজব ছড়িয়ে কোন কোন গোষ্ঠী পর পর কয়েকটি সহিংস ঘটনা ঘটিয়ে অস্থিরতা সৃষ্টির চেষ্টা করেছে বলে সরকার মনে করছে।</t>
  </si>
  <si>
    <t>চাঁদপুরে একটি ধর্মীয় সমাবেশের সময় হঠাৎ করে হিন্দু ও মুসলিমদের মধ্যে সংঘর্ষ ছড়িয়ে পড়ে। সংঘর্ষে ২৭ জন নিহত হন এবং বহু মন্দির ও মসজিদ পুড়িয়ে দেওয়া হয়। পরিস্থিতি নিয়ন্ত্রণে স্থানীয় প্রশাসন কঠোর পদক্ষেপ গ্রহণ করে।</t>
  </si>
  <si>
    <t>কুমিল্লায় পূজামণ্ডপে পবিত্র কুরআন শরীফ অবমাননা করার তীব্র নিন্দা ও প্রতিবাদ জানাই!</t>
  </si>
  <si>
    <t>যে সব পেইজে, গ্রুপে, আইডিতে ধর্ম বিরোধী, দেশ বিরোধী, মিথ্যা তথ্য সেয়ার বা পোস্ট করা হয় সে সব পেইজ,গ্রুপ, আইডি থেকে নিজেকে দূরে রাখুন।</t>
  </si>
  <si>
    <t>আমাদের রিযিকের ব্যবস্থা করে দেনআমাদের মহান আল্লাহ সুবহানাল্লাহ। ইয়া আল্লাহ সুবহানাল্লাহ ওয়া তায়াল তালা আমরা আপনাকে আর আপনার প্রিয় রাসূলকে অনেক অনেক ভালবাসি।</t>
  </si>
  <si>
    <t>ধর্ম মানুষের মধ্যে পার্থিব এবং আধ্যাত্মিক সুখের মধ্যে সমন্বয় আনে। এটি তাকে জীবনের আনন্দের সাথে আধ্যাত্মিক উন্নতির পথ প্রদর্শন করে।</t>
  </si>
  <si>
    <t>মেয়েটির বাবা-মা বৌদ্ধ, স্বামী পক্ষ দাবি করে সে মুসলিম হয়েছিল। দুই পক্ষই লাশের মালিকানার জন্য আদালতে আবেদন করেছে।</t>
  </si>
  <si>
    <t>আসসালামু আলাইকুম ভাইয়া, আপনার বোঝানো ধরণটা মাশাআল্লাহ এত সুন্দর, এত সুন্দর করে বুঝান। আল্লাহ আপনাকে আরো বুঝানোর মত তৌফিক দিক।</t>
  </si>
  <si>
    <t>সুইডিশ সরকারও কোরআন পোড়ানোর এ ঘটনায় নিন্দা জানায় ও বিষয়টিকে ‘ইসলামোফোবিক’ বলে আখ্যা দেয়। সুইডিশ সরকারের পক্ষ থেকে বলা হয়, আমাদের দেশে জনগণের সমাবেশ, মতপ্রকাশ ও বিক্ষোভের স্বাধীনতা রয়েছে ও তা সাংবিধানিকভাবে রক্ষিত।</t>
  </si>
  <si>
    <t>আমরা মত প্রকাশ করতে পারি, তবে কারও ধর্মীয় অনুভূতিতে আঘাত করতে পারি না। কারও ধর্মীয় বিশ্বাসের ব্যাপারে কোনো জবরদস্তি নেই।</t>
  </si>
  <si>
    <t>তিনি ধার্মিক ছিলেন, সবসময় সুন্নতি পোশাক পরিধান করতেন ও দাড়ি রাখতেন। নৈতিক কাজে ছাত্রদের পাশে থাকতেন। তাই হয়তো তিনি অন্যায়ভাবে শাস্তি পেয়েছেন। ছাত্রদের উচিত এই অবিচার মেনে নেওয়া না।</t>
  </si>
  <si>
    <t>দক্ষিণাঞ্চলের রামু উপজেলায় ২০১২ সালের ২৯ সেপ্টেম্বর রাতে ১২টি বৌদ্ধ বিহার ও প্রায় ৩০টি বাড়িতে হামলা, লুটপাট ও অগ্নিসংযোগ করা হয়। ফেসবুকে শেয়ার হওয়া একটি পোস্টই এই হামলার কারণ ছিল।</t>
  </si>
  <si>
    <t>এই দেশে সাম্প্রদায়িকতা,রেসিজম আর উগ্রতায় আজকেই প্রথম কেউ আক্রান্ত হয়নি। কিন্তু লক্ষনীয় বিষয় হচ্ছে এ কু অভ্যাসে আক্রান্তদের পাশে দাঁড়ানো,সহমর্মি হওয়া সব কিছুই সিলেক্টিভ ব্যাপার হয়ে দাড়িয়েছে।</t>
  </si>
  <si>
    <t>কাগজপত্র সব ঠিক থাকার পরও মসজিদ-মাদ্রাসা বুলডোজার দিয়ে ভেঙে দিয়েছে, তার বহু উদাহরণ রয়েছে। ঠিক সেভাবেই বাংলাদেশেও কাগজপত্র ঠিক থাকার পরও মুসলমান তার মসজিদ রক্ষা করতে পারছে না।</t>
  </si>
  <si>
    <t>হিন্দু মেয়েদেরকে মুসলিমরা অপহরণ করে এবং অনেককে জোরপূর্বক বিয়ে করে। হরেন্দ্রনাথ করের মেয়ে মিলা করকে সুলতান মিয়াঁ নামক একজন সিভিল সাপ্লাই কন্ট্রাক্টর অপহরণ করে এবং জোর করে বিয়ে করে।</t>
  </si>
  <si>
    <t>ধর্ম সম্পর্কে এসব বক্তব্যসমূহ আবার সামাজিক মাধ্যমসহ নানাভাবে ছড়িয়ে দেওয়া হচ্ছে, তাদের ধর্মের শ্রেষ্ঠত্ব এবং এক সময় সব মানুষ সেই ধর্মের অধীনে চলে আসবে বোঝাতে গিয়ে নানা দৃষ্টান্তও দেখাচ্ছে।</t>
  </si>
  <si>
    <t>২০০৭ সালের ক্রিসমাসে সহিংসতায় ১০০টির বেশি গির্জা ও প্রতিষ্ঠান পুড়ে যায়, ৭০০টিরও বেশি বাড়িঘর ক্ষতিগ্রস্ত হয় এবং তিন দিনে তিনজন নিহত হন।</t>
  </si>
  <si>
    <t>শার্লি এব্দো ফ্রান্সের একটি চরম বিতর্কিত পত্রিকা। পত্রিকাটি স্বাধীন মত প্রকাশের নামে প্রতিষ্ঠান বিরোধী ব্যঙ্গ কার্টুন প্রকাশ করে থাকে এবং তারা ক্যাথলিক ক্রিশ্চিয়ান ও ইহুদী ধর্ম এবং ইসলামের বিভিন্ন বিষয় নিয়েও ব্যঙ্গাত্মক কার্টুন প্রকাশ করে দীর্ঘদিন ধরেই নানা সময়ে বিতর্কের কেন্দ্রে এসেছে।</t>
  </si>
  <si>
    <t>এবং সেই দেশের খৃষ্টান নাগরিকরা আসছেন ছবি তুলছেন আনন্দ উপভোগ করছেন</t>
  </si>
  <si>
    <t>সারা বছরের জন্য ভাগ্য প্রদান করে এবং তাদের পাপ থেকে পবিত্র করে বলে বিশ্বাস করা হয়। অনেক অঞ্চলে, এটি এমন একটি রাত যখন তাদের মৃত পূর্বপুরুষদের ক্ষমা করার জন্য প্রার্থনা করা হয়।</t>
  </si>
  <si>
    <t>বৌদ্ধধর্মের উৎসব হলেও ধর্মীয় সম্প্রীতির দেশ হিসেবে বাংলাদেশে সর্বসাধারণের জন্য এই দিনটি সরকারি ছুটি থাকে।</t>
  </si>
  <si>
    <t>পঞ্চগড়ে ধর্মীয় গোষ্ঠীর সংঘর্ষে ৪৫ জন নিহত হন। পুলিশ পরিস্থিতি নিয়ন্ত্রণে ব্যর্থ হলেও সরকার শান্তি ও সহনশীলতার বার্তা দেয়। বহু সংখ্যালঘু পরিবার নিরাপত্তার জন্য আশ্রয় খুঁজে নেয়।</t>
  </si>
  <si>
    <t>এপোলজেটিকরা ইসলাম ধর্মের সবচেয়ে বড় সমস্যা। ধর্ম নিয়ে লজ্জিত হলে ধর্ম ছেড়ে দাও।</t>
  </si>
  <si>
    <t>রমজান মাস এলে রাসুল (সা.) সাহাবিদের উদ্দেশে বলতেন, তোমাদের কাছে এই মাস সমাগত হয়েছে, তাতে এমন একটি রাত রয়েছে, যা এক হাজার মাসের চেয়েও উত্তম।</t>
  </si>
  <si>
    <t>নওগাঁয়ে ধর্মীয় গোষ্ঠীর মধ্যে সংঘর্ষে ৪৩ জন নিহত হন। পুলিশ পরিস্থিতি নিয়ন্ত্রণের চেষ্টা করলেও সহিংসতা থামেনি। সরকার সবাইকে শান্ত ও ধর্মীয় দায়িত্ববোধ পালন করার আহ্বান জানায়। অনেক সংখ্যালঘু পরিবার নিরাপত্তার জন্য আশ্রয় খুঁজে নেয়।</t>
  </si>
  <si>
    <t>পুরানো বিশ্বাসীদের নির্যাতিত ও মৃত্যুদন্ড কার্যকর করা হয়েছিল, আদেশ ছিল যে এমনকি যারা সম্পূর্ণরূপে তাদের বিশ্বাস ত্যাগ করে এবং রাষ্ট্রীয় চার্চে বাপ্তিস্ম নিত তারা করুণা ছাড়াই মারধর করে। লেখক লোমোনোসভ ধর্মীয় শিক্ষার বিরোধিতা করেছিলেন এবং তার উদ্যোগে তাদের বিরুদ্ধে একটি বৈজ্ঞানিক বই প্রকাশিত হয়েছিল। বইটি ধ্বংস করা হয়েছিল, রাশিয়ান সিনড লোমোনোসভের কাজগুলি পুড়িয়ে দেওয়ার জন্য জোর দিয়েছিল এবং তার শাস্তির জন্য অনুরোধ করেছিল।</t>
  </si>
  <si>
    <t>সবার মূল সমস্যাটা আসলেই ইসলামের মধ্যে।।। মাঝে মাঝে এগুলা দেখলে খুব খুব খারাপ লাগে।।। সত্যি কি আমি একটা মুসলিম দেশে বাস করি??</t>
  </si>
  <si>
    <t>সমাবেশ থেকে হিন্দুদের উপর হামলা করা হয়। আটটি হিন্দু পাড়াতে প্রায় তিনশোটি বাড়ি-ঘর, মন্দির যেমনঃ গৌর মন্দির, নাসিরনগর, দেব-দেবীর মূর্তি ,আসবাব, প্রণামি বাক্স ভাঙচুর করা হয়।</t>
  </si>
  <si>
    <t>ধর্মীয় পরিচয় ও মত প্রকাশের বিরোধ জটিল, যা যুদ্ধ-সংঘাত ও বৈষম্যের সঙ্গে সম্পর্কিত এবং বাংলাদেশে মুসলিম অভিবাসীদের মধ্যে বর্ণবাদ ও বৈষম্যের অভিজ্ঞতা রয়েছে।</t>
  </si>
  <si>
    <t>গড়মুক্তেশ্বরে ১৯৪৬ সালে ধর্মীয় মেলায় হিন্দুদের মুসলমানদের ওপর হামলা চালিয়ে উচ্ছেদ ও গণহত্যার ঘটনা ঘটে, পুলিশ নীরব ছিল, নিহত ১,০০০-২,০০০।</t>
  </si>
  <si>
    <t>বিভিন্ন ধর্মে স্বর্গ নরকের ধারণা আছে, আর অঞ্চলের জলবায়ু ধর্মীয় পোশাক ও শ্মশ্রুর রীতিতে প্রভাব ফেলতে পারে, যেমন শীতপ্রধান এলাকায় পাগড়ি বা লম্বা দাড়ির চল দেখা যায়।</t>
  </si>
  <si>
    <t>খ্রিষ্টধর্মে বলা হয়েছে, ‘দ্বার না ঠুকলে খোলা হয় না’, মানে আমাদের চেষ্টাটুকু থাকতে হবে, বাকিটা ঈশ্বরের ইচ্ছা।</t>
  </si>
  <si>
    <t>চট্টগ্রামের লোহাগাড়া উপজেলার চরম্বা ইউনিয়ন বিবিবিলা শান্তি বিহারে হামলার ঘটনা ঘটেছে। হামলায় বিহারের একটি মূর্তি, সীমানা প্রাচীর ও জানালা-দরজা ভাঙচুর করা হয়েছে।</t>
  </si>
  <si>
    <t>পটুয়াখালী জেলার পটুয়াখালী সদর উপজেলার কুড়িপাইকা গ্রামে একটি রাধা গোবিন্দ মন্দিরটি ভেঙে মদনমোহন প্রতিমা এবং সোনার ২.৫ ভরি গহনা চুরি করে নিয়ে যায়।</t>
  </si>
  <si>
    <t>২০১৪ সালের নির্বাচনকে নির্বিঘ্ন করার জন্য ২০১৩ সাল ছিল আওয়ামী লীগের গুম ও খুনের এক মহোৎসব। হেফাজতের সমাবেশে কতজনের মৃত্যু হয়েছে, এর সঠিক তথ্য আমরা এখনো জানতে পারিনি।</t>
  </si>
  <si>
    <t>হিন্দুদের ওপর হামলা: সরকারের দায়, গোয়েন্দা ব্যর্থতা আর বাংলাদেশে সাম্প্রদায়িকতা নিয়ে প্রশ্ন</t>
  </si>
  <si>
    <t>হিন্দুদেরকে ক্রমাগত খুন করে যেতে হবে এবং তাদের সংখ্যা কমাতে হবে।</t>
  </si>
  <si>
    <t>পিরোজপুরে বৌদ্ধ মন্দিরের প্রাচীর ভেঙে কাঠের ধর্মীয় মূর্তিগুলো চুরি এবং গুঁড়িয়ে দেয়া হয়, স্থানীয় বৌদ্ধ সম্প্রদায় ক্ষোভ প্রকাশ করে।</t>
  </si>
  <si>
    <t>মসজিদে যাওয়া আসলে বয়স্ক এবং বিভিন্ন রোগে আক্রান্তদের করোনা ভাইরাসে সংক্রমণের ঝুঁকি বেশি থাকে। তাদের নিরাপদ থাকা খুবই প্রয়োজন। আলেম ওলামাগণও তাই বলছেন। দুই একজন বিচ্ছিন্নভাবে কিছু ব্যতিক্রম কথা বলছেন।</t>
  </si>
  <si>
    <t>সব ধর্মই শান্তি ও মানবিক মূল্যবোধের উপর ভিত্তি করে গঠিত, যা সমাজকে আরও সুন্দর করে তোলে।</t>
  </si>
  <si>
    <t>ঠাকুরগাঁওয়ে এক রাতে ১২টি হিন্দু মন্দিরে হামলা চালিয়ে ১৪টি দেবতার প্রতিমা ভেঙে ফেলা হয়েছে, এটি ধর্মীয় বিদ্বেষ থেকে চালানো এক নির্মম সন্ত্রাসী কর্মকাণ্ড বলে মনে করা হচ্ছে।</t>
  </si>
  <si>
    <t>উপাসনা বা সহায়তার জন্য কোনো মধ্যস্থতার প্রয়োজন নেই।</t>
  </si>
  <si>
    <t>আলহামদুলিল্লাহ, এই আইন বাস্তবায়নের উদ্যোগকে স্বাগত জানাই। বাংলাদেশের সকল মুসলমানের পক্ষ থেকে সম্মানিত বিচারক ও আইনজীবীদের ধন্যবাদ।</t>
  </si>
  <si>
    <t>ঈশ্বর এক এবং অদ্বিতীয় ঈশ্বরের উপরে কেউ হয় না। ঈশ্বর নিরাকার। ঈশ্বরের জন্ম নেই মৃত্যু নেই তিনি অনাদি অনন্ত জন্ম মৃত্যু রহিত এবং সর্ব ভুতে বিরাজমান।</t>
  </si>
  <si>
    <t>আর শুনুন বাংলাদেশে যেই ভাবে সংখ্যা লঘু সনাতনী দের উপর অত্যাচার হলো আপনাদের মানসিকতার পরিচয়। মকবুল ফিদা হুসেন কে আপনারা শিল্পী বলেন আবার হত্যা করেন কোনো শিল্পী কে।</t>
  </si>
  <si>
    <t>মেহেন্দিগঞ্জ থানার ওসি শফিকুল ইসলাম বলেন, ভাঙচুর হয়নি, খুলে ফেলা হয়েছে। মন্দির কমিটির সভাপতি দিলীপ ঢালী জানান, সেদিন রাত দেড়টা পর্যন্ত প্রতিমা নির্মাণের কাজ করে মৃৎ শিল্পীরা। এরপর মন্দিরের টিনের বেড়া আটকে শিল্পীরা ঘুমাতে যান। সকালে এসে দেখেন প্রতিমা ভাঙচুর করা হয়েছে।</t>
  </si>
  <si>
    <t>এদের সৃষ্টিকর্তা নিজ হাতে বিচার করুক। যারা মানুষের নরম হৃদয়কে কচলাতে বসে যায়।</t>
  </si>
  <si>
    <t>১১ জুলাই ২০২৪ নড়াইলের লোহাগড়ায় পুরনো রাধামাধব মন্দিরে হামলা করে ভিতরের সমস্ত প্রতিমা গুঁড়িয়ে দেয় দুর্বৃত্তরা</t>
  </si>
  <si>
    <t>তারপরও, বলবো আপনি যদি বুধবারের রেডিও অনুষ্ঠান শুনে থাকেন, তাহলে সেখানে চাঁদপুরে মন্দির হামলা করতে গিয়ে যারা মারা গেছেন তাদের নিয়ে প্রতিবেদন নিশ্চয়ই শুনেছেন।</t>
  </si>
  <si>
    <t>দু'দিন আগেই গত বৃহস্পতিবার লালমনিরহাট জেলার পাটগ্রামে শহীদুন্নবী জুয়েল নামের ৫০ বছর বয়সী এক ব্যক্তিকে ধর্ম অবমাননার অভিযোগে পিটিয়ে ও আগুনে পুড়িয়ে হত্যা করা হয়।</t>
  </si>
  <si>
    <t>জাতীয় রাজনীতি এখন চর্চিত বিষয় 'সনাতন ধর্ম'। ডিএমকে নেতা এমকে স্ট্যালিনের পুত্র উদয়নিধি স্ট্যালিনের এক মন্তব্যকে কেন্দ্র করে উত্তাল জাতীয় রাজনীতি। তামিলনাড়ুর ক্রীড়া ও যুব কল্যাণমন্ত্রী উদয়নিধি স্ট্যালিন 'সনাতন ধর্ম'-কে ডেঙ্গি ম্যালেরিয়ায় সঙ্গে তুলনা করেন এবং এই ধর্মকে নির্মূল করার কথাও বলেন।</t>
  </si>
  <si>
    <t>কিশোরগঞ্জে ধর্মীয় গোষ্ঠীর মধ্যে সংঘর্ষে ৪৫ জন নিহত হন। পুলিশ পরিস্থিতি নিয়ন্ত্রণে ব্যর্থ হলেও সরকার শান্তি ও ধর্মীয় সহিষ্ণুতা বজায় রাখার আহ্বান জানায়। বহু সংখ্যালঘু পরিবার নিরাপত্তার কারণে গ্রাম ছেড়ে চলে যায়।</t>
  </si>
  <si>
    <t>প্রতিমা ভাঙচুরের আরেকটি ঘটনা ১১ অক্টোবর ঢাকার আশুলিয়ার রাস্তামপুর গ্রামে ঘটে। একই দিনে টিপু সুলতান রোডে হামলার খবর পাওয়া গেছে। পূজা উদ্যোক্তারা প্রতিমা নিয়ে শঙ্খনিধি মন্দিরে প্রবেশ করতে পারেনি। দুর্গা প্রতিমা নিয়ে রাস্তায় ভক্তরা বসে থাকে। স্থানীয় চরমপন্থীদের সন্ত্রাসের কারণে পূজা উদ্যোক্তারা ঐতিহাসিক মন্দিরটিতে পূজা করতে ব্যর্থ হয়ে, ভক্তদের পূজা করার জন্য একটি অস্থায়ী জায়গা দেওয়া হয়, যেখানে প্রতিমাগুলি স্থানান্তর করা হয়।</t>
  </si>
  <si>
    <t>১৯৮৭ সালের ২২ মে বাংলাদেশের একটি এলাকায় হিন্দু-মুসলিম দাঙ্গার সময় নিরাপত্তা বাহিনী কর্তৃক ৪২ জন মুসলিম যুবককে আটক করে নিখোঁজ করার অভিযোগ উঠে।</t>
  </si>
  <si>
    <t>হিন্দু-মুসলিম সংঘর্ষের সময় নারীরা, পুরুষরা ও শিশুরা বাড়ি ছেড়ে আশ্রয় নেন। দুর্বৃত্তরা বাড়িতে আগুন ধরিয়ে তাণ্ডব চালায়</t>
  </si>
  <si>
    <t>২ মার্চ মধ্যরাতের অল্প সময়ের মধ্যেই, প্রায় ৩০-৪০ জন দুর্বৃত্তরা হিন্দুদের গালি দেওয়া ও হুমকি দিয়ে দিনাজপুর জেলার দিনাজপুর সদর উপজেলার উত্তরগঞ্জ মহেশপুর গ্রামে তাদের বাড়িতে হামলা চালায়।</t>
  </si>
  <si>
    <t>ভিডিও টা দেখে ইমান আরো বেড়ে গেলো আল্লাহ মহান। আল্লাহ আপনার ভালোবাসা আমার অন্তরে সৃষ্টি করে দেন</t>
  </si>
  <si>
    <t>শুধু কুরআন নয়, সবধরণের ধর্মগ্রন্থ এবং স্রষ্টার অবমাননা করলে সর্বনিম্ম শাস্তি হওয়া উচিত মৃত্যুদণ্ড, এবং সর্বোচ্চ শাস্তি হওয়া উচিত দোষীকে জনতার হাতে তুলে দেয়া।</t>
  </si>
  <si>
    <t>হিন্দু সম্প্রদায়ের কিছু অংশ অন্য ধর্মের প্রতি অবজ্ঞাসূচক বক্তব্য দিয়ে ধর্মীয় বিদ্বেষ সৃষ্টি করে এবং সামাজিক সম্প্রীতি নষ্ট করে।</t>
  </si>
  <si>
    <t>একশ্রেণির মানুষ বিজ্ঞানের গ্রুপে ধর্ম নিয়ে অপ্রয়োজনীয় বিতর্ক সৃষ্টি করেন। আমরা ধর্মকে অসম্মান করি না, তবে বিজ্ঞানগ্রুপে এমন আচরণ গ্রহণযোগ্য নয়।</t>
  </si>
  <si>
    <t>২০১৭ সালে গোপালগঞ্জে ঐতিহ্যের ধর্মগুলোর উপাসনালয়ে আগুন ধরিয়ে দেওয়া হয়, এতে ধর্মীয় নেতা ও অনুসারীরা আহত হন।</t>
  </si>
  <si>
    <t>সকাল থেকেই পাড়ায় পাড়ায় চলছে পিঠা পুলি আর পায়েস তৈরির ধুম আর ধর্মীয় আনন্দে সবাই মিলে মঙ্গল রথযাত্রা পালন করছে ভগবানের আশীর্বাদ নিয়ে।</t>
  </si>
  <si>
    <t>১০০০ খ্রিস্টপূর্বাব্দে রচিত এক লেখায় অন্ত্যেষ্টির আচার বর্ণনা করা হয়েছে, যেখানে বিধবা মৃত স্বামীর সাথে শয়ন করে, তবে পরে উঠে সন্তান ও সম্পদ থেকে আশীর্বাদ গ্রহণ করে।</t>
  </si>
  <si>
    <t>স্পেশাল রিপোর্টার বলেছেন, তিনি বাংলাদেশের বাহাই সম্প্রদায়ের সদস্যদের প্রতি আচরণের তথ্য দেখে উদ্বিগ্ন। তিনি বললেন, ধর্মীয় সংখ্যালঘুদের পরিস্থিতি এখানে অবনতির দিকে যাচ্ছে।</t>
  </si>
  <si>
    <t>ধর্ম অবমাননার অভিযোগে আকাশ সাহার ফেসবুক পোস্টের পর দিঘলিয়া বাজারে উত্তেজনা সৃষ্টি হয়, মিছিল বের হয় এবং হামলা হয়। পুলিশের সক্রিয়তা না থাকলে পরিস্থিতি আরও খারাপ হতে পারত।</t>
  </si>
  <si>
    <t>যে দেশ হওয়ার কথা ছিলো সকল বর্ণের গোত্রের, ধর্মের, যে দেশের জন্য প্রাণ দিয়েছেন সকল ধর্ম বর্ণ নির্বিশেষে শহীদেরা, সে দেশের অগ্রগতি আর সমৃদ্ধি!</t>
  </si>
  <si>
    <t>খুলনা ধর্মসভা মন্দিরের অনুষ্ঠানে বোমা হামলা, কনস্টেবল আহত,</t>
  </si>
  <si>
    <t>২০১৫ সালে রাজশাহীর একটি শিয়া মসজিদে সন্ত্রাসী হামলা চালিয়ে একজন মুসল্লিকে হত্যা করা হয় এবং কয়েকজন আহত হন।</t>
  </si>
  <si>
    <t>হে আমার মহান রব আমি নবী করিম হযরত মুহাম্মদ সাল্লাল্লাহু আলাই সাল্লাম এর উম্মত ইনশাআল্লাহ আমি আশাবাদী আমি আমার বাবা-মা আমার স্ত্রী এবং আমার ভাই দের এবং আমার নিকটতম আত্মীয় নানা নানি খালা খালু মামা মামানি ও শ্বশুর শাশুড়ি আত্মীয়-স্বজনকে নিয়ে একসাথে জান্নাতে যেতে চাই</t>
  </si>
  <si>
    <t>ধর্মীয় বিদ্বেষের ফলে হাজারো হিন্দু পণ্ডিতকে নৃশংসভাবে বাড়িঘর ছাড়তে বাধ্য করা হয় যা এখনও একটি জঘন্য ধর্মীয় নিপীড়নের উদাহরণ হিসেবে বিবেচিত।</t>
  </si>
  <si>
    <t>২৮ অক্টোবর ২০২২ লক্ষ্মীপুরের কমলনগরে পঞ্চমী পূজার আগেই প্রতিমাগুলো নষ্ট করে দেয় দুর্বৃত্তরা</t>
  </si>
  <si>
    <t>২ অক্টোবর রবিবার রাত সাড়ে ৯ টার দিকে কিশোরগঞ্জে শ্যাম সুন্দর জিউর আখরা ও শিব মন্দিরের দুর্গাপূজা মন্ডপে দুর্বৃত্তদের হামলা ঘটে।</t>
  </si>
  <si>
    <t>ওরা ইসলামকে অপমান করে আমাদের সম্মান ধ্বংসে লেগেছে—ওরা শত্রু।</t>
  </si>
  <si>
    <t>ইদানিং কিন্তু কিছু বিধর্মী মুসলিম নাম দিয়ে ফেসবুক আইডি খুলে ইসলাম বিরোধী অপপ্রচার এবং ইসলাম ধর্ম নিয়ে পোস্টে নানারকম কূ-মন্তব‍্য করে যাচ্ছে।</t>
  </si>
  <si>
    <t>কেন আমরা ধর্ম নিয়ে অপব্যবহার করি? ইসলাম কোনো ছোট ধর্ম নয়।</t>
  </si>
  <si>
    <t>পাটগ্রাম থানার ওসি সুমন কুমার মহন্ত জানান, তিনটি মামলার মধ্যে নিহতের পরিবারের তরফ থেকে করা হয়েছে হত্যা মামলা। ইউনিয়ন পরিষদ চেয়ারম্যানের তরফ থেকে করা হয়েছে সরকারি স্থাপনা ভাংচুর মামলা। আর পুলিশ একটি মামলা করেছে সরকারি কাজে বাধা দেয়া এবং আরো কিছু ধারায়।</t>
  </si>
  <si>
    <t>উনার উদ্দেশ্যে একটা বার্তা - বাংলাদেশে অহরহ ধর্ম ব্যাবসায়ী আছে যারা ধর্মের নামে দেশে নিজস্ব স্বার্থের জন্য দা`ঙ্গা ছড়িয়ে দেয়!</t>
  </si>
  <si>
    <t>হিন্দু-বৌদ্ধ-খ্রিস্টান ঐক্য পরিষদের সাধারণ সম্পাদক রানা দাশগুপ্ত বলেছেন, গুজব ছড়িয়ে একদিকে হামলা করা হয়েছে, অন্যদিকে ক্ষতিগ্রস্তদেরকেই ধর্ম অবমাননার অভিযোগে ফাঁসানোর চেষ্টা করা হচ্ছে।</t>
  </si>
  <si>
    <t>মুসলিম সম্প্রদায়ের একাংশ ধর্মীয় উগ্রতা ছড়িয়ে দিয়ে অন্য ধর্মের প্রতি অবজ্ঞাসূচক মনোভাব দেখায়।</t>
  </si>
  <si>
    <t>ইসলামবিদ্বেষী শয়তান গুলো বারবার পবিত্র কোরআন অবমাননা করে মুসলমানদের অপমান করছে—এমন অপবিত্রদের শাস্তি হওয়া উচিত।</t>
  </si>
  <si>
    <t>শেরপুর জেলায় যারা কোরআন অবমাননা করেছে, আল্লাহ যেন তাদের কঠোর শাস্তি দান করেন।</t>
  </si>
  <si>
    <t>একজন প্রকৃত ধর্মপ্রাণ ব্যক্তি কখনো অন্যের ক্ষতি করতে পারে না।</t>
  </si>
  <si>
    <t>ছয় মাসে হিন্দু সম্প্রদায়ের বাসস্থান ও মন্দিরে হামলা ও অগ্নিসংযোগ হয়েছে, এবং ক্রসফায়ারে ৬২ জন নিহত হয়েছেন।</t>
  </si>
  <si>
    <t>খ্রিস্টানরা নিজেদের ভালো দেখানোর জন্য দান করে, আসলে ভিতরে বিষ।</t>
  </si>
  <si>
    <t>সুত্রাপুরে প্রত্যেকটি হিন্দু বাড়ি,ব্যবসাপ্রতিষ্ঠান লুটপাট, ভাংচুর ও অগ্নিসংযোগ করে তারা।[৬] ১০০ টিরও বেশি বাড়িঘর ও দোকানপাটে লুটপাট চালানো হয় এবং সবগুলো ক্ষেত্রে লুটপাটের পরে আগুন ধরিয়ে দেয়া হত।</t>
  </si>
  <si>
    <t>ধর্মীয় হিংস্রতার ফলে ২০০ মৃতদেহ ট্র্যাক্টরে লাশ বহন করা হয়েছিল এবং নিরীহ হিন্দুদের উপর হত্যাযজ্ঞের তীব্রতা এবং গতির কারণে ৫০০ জনেরও বেশি মৃত্যু হয়েছে, যাদের মধ্যে কাটাছেঁড়াও ছিল।</t>
  </si>
  <si>
    <t>২০১৭ সালের অক্টোবর মাসে এক ধর্মীয় প্রার্থনার সময় হামলা চালিয়ে শিশু ও বৃদ্ধদের হত্যা করা হয়; মৃতদেহ নদীতে ফেলা হয়; ৩৩ জন নিহত হন।</t>
  </si>
  <si>
    <t>৭টি মন্দির ও প্রার্থনাস্থলের বিগ্রহ ভাঙচুর করা হয়। গ্রেফতারের পর পুলিশ গ্রামবাসীকে শান্তি আশ্বাস দিলেও পরদিন ভাঙচুর চেয়ারম্যানের সামনে সংঘটিত হয়।</t>
  </si>
  <si>
    <t>রাখাইনদের অভিযোগ: বৌদ্ধ ধর্মের অবমাননা করেছে শিক্ষক</t>
  </si>
  <si>
    <t>হিন্দু বৌদ্ধ খ্রিস্টান ঐক্য পরিষদের মতে, ধর্মীয় পরিচয়ের কারণে বহু হিন্দু নির্মমভাবে নিহত হয়েছে, এবং দীপঙ্কর ঘোষ জানান, তদন্তে এসব ঘটনাকে আত্মহত্যা নয়, পরিকল্পিত হত্যাকাণ্ড হিসেবে ধরা হয়েছে।</t>
  </si>
  <si>
    <t>গীতা থেকে আবৃত্তি করছিলেন ৭৫ বছর বয়সী নবীন সাধু, একইভাবে তাকে গুলি করে হত্যা করা হয়েছিল। আক্রমণকারীরা গ্রামের পুরোহিতকে ঘিরে ফেলে এবং তাদের পূজা করার মূর্তিগুলো ভাঙতে বাধ্য করে। এরপরে পুরোহিতদের গুলি করে হত্যা করা হয়েছিল।</t>
  </si>
  <si>
    <t>প্রতিমা ভাংচুরের প্রতিবাদ ও জড়িতদের বিচারের দাবিতে ঘটনার পর দিন সকাল থেকে এলাকার হাজার হাজার হিন্দু নারী-পুরুষ বিক্ষোভ করে। এ ঘটনায় উপজেলার শাহপুর এলাকার খিজির শাহ ও তার ছেলে জাহিদুল ইসলাম এবং উমর খন্দকার এবং কর্তব্যরত আনসার সদস্য রজিব ও বজলুকে আটক করে পুলিশ।</t>
  </si>
  <si>
    <t>ধর্মের মূল শিক্ষা হচ্ছে মানুষের হৃদয়ে ভালোবাসা এবং দয়া প্রতিষ্ঠা করা, যার মাধ্যমে সামাজিক সম্প্রীতি এবং ঐক্য স্থাপিত হয়, এবং এটি কোনোভাবেই সহিংসতা বা দুশমনির সৃষ্টি করতে চায় না, বরং সকল মানুষের মধ্যে শান্তি ও সম্মান বাড়ানোর জন্য উৎসাহিত করে।</t>
  </si>
  <si>
    <t>মুসলিম ধর্মাবলম্বীরা অনেক সময় অন্য ধর্মাবলম্বীদের প্রতি অবজ্ঞা প্রদর্শন করে এবং তাদের ধর্মীয় আচার-অনুষ্ঠানকে হেয় করে।</t>
  </si>
  <si>
    <t>হামলাকারীদের পুলিশ বাধা দিলে সংঘর্ষ শুরু হয়। সংঘর্ষে ৩ জন নিহত ও ১৭ জন পুলিশ সদস্য আহত হয়।[৩১] এরপরে প্রশাসন হাজীগঞ্জ পৌর এলাকায় ১৪৪ ধারা জারি করে। একই সঙ্গে বুধবার রাতে আইন-শৃঙ্খলা পরিস্থিতি স্বাভাবিক রাখতে দুই প্লাটুন বিজিবি মোতায়েন করা হয়।[</t>
  </si>
  <si>
    <t>সহিষ্ণুতার অভাব এবং ধর্মীয় উগ্রপন্থার বিস্তার সমাজকে বিভক্ত করেছে, যার ফলে অনেকের জীবন অকালে শেষ হয়েছে।</t>
  </si>
  <si>
    <t>দুঃখটা এটাই যে যারা পিটিয়েছে তাদের বেশিরভাগের নামের পূর্বেই হয়তো মোহাম্মদ যুক্ত, মানে তারা মুসলিম দেখেই মেরে দিয়েছে।</t>
  </si>
  <si>
    <t>২০১৭ সালের আগস্ট মাসে এক তরুণকে তার ধর্মত্যাগের কারণে প্রকাশ্যে হত্যা করা হয়, এই ঘটনায় প্রতিবাদের সময় ১৫ জন নিহত হয়।</t>
  </si>
  <si>
    <t>রংপুরের পীরগঞ্জে এক ব্যক্তিকে ফাঁসাতে হিন্দু সম্প্রদায়ের মন্দিরে মূর্তি ভাঙচুর করা হয়েছে। বিষয়টি স্থানীয় প্রশাসনকে জানানো হলেও তারা নীরব রয়েছে। যে কোনো সময় রক্তক্ষয়ী সাম্প্রদায়িক সংঘর্ষের রূপ নিতে পারে বলে সুধীজনরা আশঙ্কা করছেন। উপজেলার পাঁচগাছী ইউনিয়নের জোতিডাঙ্গা গ্রামে এ ঘটনা ঘটেছে।</t>
  </si>
  <si>
    <t>প্রথম শতাব্দী থেকে চতুর্থ শতাব্দীর শুরু পর্যন্ত অব্যাহত ছিল, যখন মিলানের আদেশ দ্বারা ধর্মকে বৈধ করা হয়েছিল , অবশেষে এটি রোমান সাম্রাজ্যের রাষ্ট্রীয় চার্চে পরিণত হয়েছিল । অনেক খ্রিস্টান পারস্য সাম্রাজ্যে হিজরত করে রোমান সাম্রাজ্যের নিপীড়ন থেকে পালিয়ে গিয়েছিল যেখানে কনস্টানটাইনের ধর্মান্তরের পর দেড় শতাব্দী ধরে, তারা সাসানিদের অধীনে নির্যাতিত হয়েছিল, হাজার হাজার তাদের জীবন হারিয়েছিল।</t>
  </si>
  <si>
    <t>একজন খ্রীষ্টানের রক্তে যখন একজন মুসলিম শিশু জীবন ফিরে পায় , আবার যখন একজন মুসলিম ভাইয়ের রক্তে একজন হিন্দু বৃদ্ধ জীবন ফিরে পায় , আবার যখন একজন হিন্দুর রক্তে একজন খ্রীষ্টান জীবন ফিরে পায়</t>
  </si>
  <si>
    <t>কোরআনের অবমাননা বা তুচ্ছ-তাচ্ছিল্য করলে ব্যক্তি ইসলামের বাইরে গণ্য হবে এবং ইসলামী শরিয়তে তাকে মুরতাদ হিসেবে বিবেচনা করা হবে। মুরতাদের শাস্তি ইসলামী আইনে মৃত্যুদণ্ড নির্ধারিত।</t>
  </si>
  <si>
    <t>কোথাও রমজান সম্পর্কিত অনুষ্ঠান আয়োজনের অনুমতি না দেবার কথা বা নিষেধাজ্ঞা দেবার কথাও বলেনি। কিন্তু গত কয়েকদিন ধরে ফেসবুকে নোংরা অপপ্রচার চলছে।</t>
  </si>
  <si>
    <t>পৃথিবীতে হিন্দুধর্মই একমাত্র ধর্ম যে ধর্ম অন্য কোনো ধর্মকে অপমান বা অশ্রদ্ধা করেনা। কারণ আপনাদের ধর্ম আপনাদের ইসলাম ধর্মের মতো ভালো শিক্ষা দেয়।</t>
  </si>
  <si>
    <t>২০২১ সালের ১৭ অক্টোবর, চাঁদপুরের হাজীগঞ্জে হিন্দুদের উপর হামলা চালানো হয়, মন্দির ও বাড়িঘর ভাঙচুর করা হয়, এতে ১১ জন নিহত হন।</t>
  </si>
  <si>
    <t>লক্ষ্মীপুর জেলায়, চন্দ্রগঞ্জে পাঁচটি হিন্দু মালিকানাধীন গহনার দোকান লুট করা হয় এবং একটি হিন্দু মন্দিরে আক্রমণ এবং লুট করা হয়।[১৬] ২৮ ফেব্রুয়ারি মধ্যরাতের পরে রায়পুর উপজেলার গাইয়ারচরে একটি হিন্দু মন্দিরে আগুন দেওয়া হয়।</t>
  </si>
  <si>
    <t>আমরা শান্তি চাই। যদি আপনারাও চান, তবে বাংলাদেশে ধর্মীয় সহাবস্থান রক্ষায় আমরা প্রস্তুত।</t>
  </si>
  <si>
    <t>ঠিক দাদা একদম।এরা এখন হিন্দু মুসলমানদের মধ্যে বিভেদ সৃষ্টি করতে চাচ্ছে নিজেরদের স্বার্থ হাসিলের জন্য।</t>
  </si>
  <si>
    <t>হবিগঞ্জের একটি গির্জার আশপাশে হিন্দু দেবতাদের মূর্তি স্থাপন করে খ্রিস্টানদের উত্ত্যক্ত করার চেষ্টা চালানো হয়।</t>
  </si>
  <si>
    <t>ধর্মে তবলিগ, তানজিম, শুদ্ধি (হিন্দু-মুসলিম সাম্প্রদায়িক প্র্যাকটিস) জাতীয় অভ্যাস গুলি শুরু হয়েছে এবং যার ফলে আমরা এই নিদারুণ অবস্থায় পৌঁছেছি।</t>
  </si>
  <si>
    <t>সারা দেশে হিন্দুধর্মাবলম্বীদের সবচেয়ে বড় উৎসব দুর্গাপূজা জাঁকজমকভাবে পালন করা হচ্ছে। প্রশাসন ও পুলিশ প্রশাসন পূজা সুষ্ঠুভাবে সম্পন্ন হওয়ার জন্য দিনরাত পরিশ্রম করছে।</t>
  </si>
  <si>
    <t>পরস্থিতির আরও অবনতি হতে শুরু করে যখন ১৬ই ডিসেম্বরে বরিশাল জেলার অন্তর্গত গৌরনদী, ঝালকাঠি, নলছিটি সাব-ডিভিশন গুলোতে নির্বিচারে হিন্দুদের উপর হত্যা, লুটপাট, অগ্নিসংযোগ শুরু করা হয়।</t>
  </si>
  <si>
    <t>মুসলিম লীগের সমর্থকদের মতে বাংলায় ভঙ্গুর মুসলিম লীগ সরকারকে দুর্বল করার প্রয়াসে এই সহিংসতার পিছনে কংগ্রেস পার্টি ছিল।[৪৩] ঐতিহাসিক জয়া চ্যাটার্জি দাঙ্গা রোধ করতে ব্যর্থ হওয়ার এবং পুলিশবাহিনীকে নীরব থাকতে বলার জন্য সোহরাওয়ার্দীকে বিশেষভাবে দায়ী করেন, পাশাপাশি তিনি উল্লেখ করেছন যে হিন্দু নেতারাও দোষী ছিলেন।</t>
  </si>
  <si>
    <t>৭ জানুয়ারীর রাতে বিএনপি এবং জামাতি ইসলামের কর্মীরা গাইবান্ধা জেলার গাইবান্ধার সদর উপজেলার কুপতোলা ইউনিয়নের পাচটি হিন্দু দোকান এবংদুইটি বাড়ি ধ্বংস করে দেয়।</t>
  </si>
  <si>
    <t>ভাইরে ভাই সামান্য কমেন্ট সেকশানে কিছু মানুষ চঞ্চল চৌধুরীর ধর্ম জানতে চাওয়ায় মিডিয়া আর ফেসবুকে তথাকথিত সুশীলরা যে অবস্থা শুরু করসেন!</t>
  </si>
  <si>
    <t>আমরা কোনো ধর্মের মানুষকে ঘৃণা করি না। আমরা শান্তিপূর্ণভাবে আমাদের ধর্ম পালন করবো।</t>
  </si>
  <si>
    <t>খ্রিস্টান ধর্মে বলা হয়েছে যে, প্রেমের মাধ্যমে মানুষের জীবনকে সুন্দর ও অর্থপূর্ণ করা উচিত, কারণ সত্যিকারের ভালোবাসা কোনো ধরনের ক্ষতি বা অশান্তি সৃষ্টি করে না, বরং এটি মানুষকে একত্রিত করে, শান্তি ও ঐক্য প্রতিষ্ঠা করতে সহায়ক হয়।</t>
  </si>
  <si>
    <t>সামান্য কষ্টের বিপরীতে জাহান্নামের কঠিন শাস্তিকে ডেকে আনা কি কখনো বুদ্ধিমানের কাজ হতে পারে?</t>
  </si>
  <si>
    <t>অথচ আমরা সব ধর্মের মানুষ ভালবাসার বন্ধনে আবদ্ধ হয়ে আছি। সেখানে এমন অবমাননা কখনও মেনে নেওয়ার মত না অনতিবিলম্বে এর সুষ্টু বিচার দাবী করছি।</t>
  </si>
  <si>
    <t>আকাশ ও ভূমিতে যা কিছু রয়েছে, সবই তাঁর। কে আছে এমন, যে সুপারিশ করবে তাঁর কাছে তার অনুমতি ছাড়া? দৃষ্টির সামনে কিংবা পিছনে যা কিছু রয়েছে সে সবই তিনি জানেন।</t>
  </si>
  <si>
    <t>ইসলাম ধর্ম নয় , রাজনীতি। তাহলে বিএনপির প্রতিষ্ঠাতার সমালোচনা করতে পারলে ইসলামের রাজনীতির প্রতিষ্ঠাতারও সমালোচনা যাবে।</t>
  </si>
  <si>
    <t>বক্তারা আগামী ২৪ ঘন্টার মধ্যে কোরআন পোড়ানোর ঘটনায় সুইডেন সরকারকে ক্ষমা চাওয়ার আহ্বান জানানো হয়। এটা না করলে এ দেশটির সাথে বাংলাদেশের কোনো কূটনৈতিক সম্পর্ক না রাখার হুঁশিয়ারি দেন তারা।</t>
  </si>
  <si>
    <t>বরগুনায় ধর্মীয় সহিংসতায় সংখ্যালঘু সম্প্রদায়ের ওপর হামলায় অন্তত ৩৬ জন নিহত হন।</t>
  </si>
  <si>
    <t>আমরা মুসলিম হিসেবে আল্লাহ এবং রাসূল (সা.)-এর প্রতি গভীর বিশ্বাস রাখি। আমাদের ভাইদের প্রতি অনুরোধ, আসুন সকলে শান্তিপূর্ণভাবে ইসলামের সঠিক পথে বিশ্বাস ও আস্থা রাখি।</t>
  </si>
  <si>
    <t>ধর্মীয় নিপীড়নের অংশ হিসেবে মন্দিরের পুরোহিত পরমানন্দ গিরিকে ‘কালেমা’ পাঠ করতে বাধ্য করে এবং তার পরপরই তার পেটে বেয়নেট বিদ্ধ করে এবং গুলি করে হত্যা করে। পরবর্তীকালে অনেককে ‘কালেমা’ পড়তে বাধ্য করা হয় এবং পরে একইভাবে হত্যা করা হয়।</t>
  </si>
  <si>
    <t>কাহারোল অতন্ত্য শান্তিপূর্ণ একটি এলাকা এবং অসাম্প্রদায়িক। এই অসাম্প্রদায়িকতা কে নস্ট করার জন্য একটি মহল ধর্মীয় উষ্কানি প্রদান করছে।</t>
  </si>
  <si>
    <t>বাইবেলে লেখা আছে “তোমার প্রতিবেশীকে তোমার নিজের মত ভালোবাসো” – এই শিক্ষাই মানুষকে শান্তির পথে নিয়ে যায়।</t>
  </si>
  <si>
    <t>১৩ মার্চ ২০২৪ গোপালগঞ্জের কাশিয়ানীতে কালীমন্দিরে ঢুকে সকল মূর্তির হাত ও চোখ চুর্ণ করা হয় এবং পূজার উপকরণ ছুঁড়ে ফেলা হয়</t>
  </si>
  <si>
    <t>মধ্যাঞ্চলের একটি শহরের কিছু এলাকায় কারফিউ জারি করা হয়েছে, যেখানে সংখ্যাগুরু সম্প্রদায়ের লোকেরা মুসলিমদের মালিকানাধীন দোকান ও বাড়িঘরে ভাঙচুর ও অগ্নিসংযোগ করেছে।</t>
  </si>
  <si>
    <t>২০১৯ সালের ফেব্রুয়ারিতে এক গোষ্ঠী ধর্মীয় গোষ্ঠীর মধ্যে সংঘর্ষে ৩৪ জন নিহত হন; আহত হয় বহু মানুষ।</t>
  </si>
  <si>
    <t>ভাই, সবখানেই কি তোদের ধর্মকে টানা লাগবে। তোর কোন বিধর্মী শিক্ষক বা বন্ধু মারা গেলে তুই কি তাদের মারা যাওয়াতে হেসে বুক ফাটাতি নাকি সমবেদনা জানাতি।</t>
  </si>
  <si>
    <t>ধর্মীয় অনুভূতিতে আঘাতের অভিযোগ করে ২০১৬ সালের ‘খাঁটি আহলে সুন্নাত ওয়াল জামাত’ নাসিরনগর সরকারি কলেজ মোড়ে বিক্ষোভ ও সমাবেশের ডাক দেয়।</t>
  </si>
  <si>
    <t>নড়াইলে এক ধর্মীয় গোষ্ঠীর হামলায় ৩৫ জন নিহত হয়; পুলিশ পরিস্থিতি নিয়ন্ত্রণে ব্যর্থ হয়।</t>
  </si>
  <si>
    <t>ধর্মীয় অনুশীলন আমাদের চরিত্র গঠনে সহায়তা করে, যেমন সততা, সহনশীলতা ও সহানুভূতি।</t>
  </si>
  <si>
    <t>বৌদ্ধ সম্প্রদায়ের কিছু সদস্য ধর্মীয় বিদ্বেষ ছড়িয়ে সমাজে অশান্তি ও বিভাজন সৃষ্টি করছে।</t>
  </si>
  <si>
    <t>মুসলিম গোষ্ঠীর কিছু তরুণ ধর্মীয় উগ্রতা মেনে নেয়ার কারণে সমাজে সহিংসতা ও ধর্মীয় বিভাজন আরো তীব্র হচ্ছে।</t>
  </si>
  <si>
    <t>ফেসবুকের পোস্টে ধর্মীয় অনুভূতিতে আঘাত করে মন্তব্য করার বিষয়টি প্রমাণিত হওয়ায় আসামি পরিতোষ সরকারকে চারটি ধারায় মোট ১১ বছরের কারাদণ্ড দিয়েছেন বিচারক।</t>
  </si>
  <si>
    <t>ধর্ম অবমাননার গুজব ছড়িয়ে সংখ্যালঘুদের উপাসনালয় ও বসতবাড়িতে হামলা চালিয়ে ভাঙচুর ও আগুন দেওয়া হয়েছে যা ধর্মীয় সহিংসতা ও সন্ত্রাসের উদ্বেগজনক চিত্র তুলে ধরে।</t>
  </si>
  <si>
    <t>নেতৃত্ব দেন ও স্থানীয় উগ্র মুসলমানদের সংগঠিত করেন রংপুর কারমাইকেল কলেজের দর্শন বিভাগের স্নাতকোত্তর শ্রেণির ছাত্র ও ওই বিভাগে ছাত্রলীগের কমিটির ১ নম্বর সহ-সভাপতি এসএম সৈকত মণ্ডল (২৪)। ঘটনার দিন ফেসবুকে বিভিন্ন ধরনের উসকানিমূলক বক্তব্য এবং মিথ্যা পোস্টের মাধ্যমে গুজব ছড়িয়ে স্থানীয় লোকজনকে উত্তেজিত করতে থাকেন সৈকত মণ্ডল। [৪][৭][৮]অপরদিকে একটি মসজিদ থেকে মাইকিং করে উসকানিমূলক বক্তব্য দিয়ে স্থানীয় লোকজনকে জড়ো করেন সৈকত মণ্ডলের সহযোগী রবিউল ইসলাম</t>
  </si>
  <si>
    <t>মৃত্যুর আগে কোরআন কে তোমার সঙ্গী করে নাও মৃত্যুর পর কোরআন তোমায় সঙ্গী করে নিবে ইনশাল্লাহ</t>
  </si>
  <si>
    <t>বরিশালে ধর্মীয় উত্তেজনার কারণে সংঘর্ষে ৪৭ জন নিহত হন। পুলিশ সহিংসতা রোধে তৎপর থাকে, সরকার ধর্মীয় সহনশীলতা বজায় রাখতে সবাইকে শান্ত থাকার আহ্বান জানায়। অনেক সংখ্যালঘু পরিবার নিরাপত্তার জন্য গ্রাম ছেড়ে চলে যায়।</t>
  </si>
  <si>
    <t>আপনি ইসলাম ধর্ম র কুরআন শরীফ পরে দেখবেন বাংলায় পড়ে দেখবেন। আর মুসলিম দেশে থেকে ইসলাম এর কোনো ফালতু কথা বলবেন না।</t>
  </si>
  <si>
    <t>ধর্ম একজন মানুষের মাঝে আত্মবিশ্বাস, ধৈর্য ও সাহসিকতা গড়ে তোলে, যা কঠিন পরিস্থিতিতে তাকে স্থির ও পরিশ্রমী হতে সহায়তা করে।</t>
  </si>
  <si>
    <t>২০১৯ সালের মার্চে এক গ্রামের হিন্দু সম্প্রদায়ের ওপর মুসলিম উগ্রবাদীদের হামলা, বাড়িঘর লুটপাট ও পুড়িয়ে দেওয়া হয়। এই সংঘর্ষে অন্তত ২৯ জন নিহত হন।</t>
  </si>
  <si>
    <t>গত ২ নভেম্বর কুষ্টিয়ার ভেড়ামারার মো. সেলিম খান ফেসবুকে নাফিসা চৌধুরীর স্ট্যাটাসের নিচে কুরুচিপূর্ণ মন্তব্য করেন, যা পরে ভাইরাল হয় এবং অনেকেই তার শাস্তি দাবি করেন।</t>
  </si>
  <si>
    <t>নওগাঁর একটি গ্রামে ধর্মীয় উগ্রতার জেরে সংঘর্ষের ঘটনা ঘটে। পুলিশ পরিস্থিতি নিয়ন্ত্রণে আনার জন্য চেষ্টাকরলেও হামলাকারীরা সহিংসতা চালিয়ে যায়। এতে অন্তত ৪৮ জন নিহত হন এবং শতাধিক মানুষ আহত হয়। এই সহিংসতার ভয়ে অনেক পরিবার গ্রাম ছেড়ে অন্যত্র পালিয়ে যায়। পুলিশের উপস্থিতি থাকলেও পরিস্থিতি নিয়ন্ত্রণে আনা যায়নি।</t>
  </si>
  <si>
    <t>নেত্রকোনায় বৌদ্ধ বিহারে ধর্মীয় প্রতীক ছিঁড়ে ফেলে পায়ের নিচে মাড়িয়ে ছবি তোলে কিশোরদের একটি দল।</t>
  </si>
  <si>
    <t>স্থানীয় পত্রপত্রিকায় খবর অনুযায়ী, বাবরি মসজিদ ভাঙ্গার প্রতিবাদে ৮ই ডিসেম্বর সারাদেশে হরতাল ডাকে জামায়াতে ইসলামী এবং আরো কয়েকটি ইসলামী দল।</t>
  </si>
  <si>
    <t>বাংলাদেশে ধর্ম পালনে কাউকে বাধা দেওয়া হচ্ছে না। ঢাবিতে প্রতিদিন অর্ধশতের বেশি ইফতার পার্টি হচ্ছে, হিন্দু ধর্মীয় অনুষ্ঠানেও কেউ বাধা দিচ্ছে না।</t>
  </si>
  <si>
    <t>২০২০ সালের নভেম্বর মাসে এক মুসলিম অধ্যুষিত এলাকায় ধর্মীয় উগ্রবাদীদের সংঘর্ষে ৩৭ জন নিহত হয়; আহত হয় অনেকেই।</t>
  </si>
  <si>
    <t>আল্লাহ আমাদের সব বিষয়ে দোয়া করতে বলেন। তাই আমরা সর্বদা পূর্ণ বিশ্বাস নিয়ে আল্লাহর কাছে দোয়া করবো, ইনশাআল্লাহ সেই দোয়া কবুল হবে।</t>
  </si>
  <si>
    <t>আমার বিশ্বাস, আমি অন্তর থেকে সবসময়ই একজন মুসলিম ছিলাম।</t>
  </si>
  <si>
    <t>জৈন ধর্মের অনুসারীরা শুদ্ধতা, সততা ও দয়া নিয়ে জীবন যাপন করে এবং তাদের দর্শন মানবতার জন্য মূল্যবান শিক্ষা দেয়।</t>
  </si>
  <si>
    <t>তিনি লিখেছেন, ‘অ্যাডভোকেট সাইফুল ইসলাম আলিফকে যেসব সাম্প্রদায়িক সন্ত্রাসীরা হত্যা করেছে তাদের অবশ্যই কঠোর শাস্তি হবে।</t>
  </si>
  <si>
    <t>মসজিদের থেকে মন্দিরের দূরত্ব প্রায় ১ কিলোমিটার, এর মধ্যে শ্যামগড় জামে মসজিদ নামে আরেকটি মসজিদও রয়েছে। অনলাইনের হিন্দুত্ববাদী আইডিগুলো থেকে আস্ফালন করা হচ্ছে যে, মন্দিরের ‘জমিতেই’ নাকি মসজিদ করা হচ্ছে এবং মন্দিরের শব্দদূষণ ও মূর্তিপূজার সুবিধার্থে ধারেকাছে কোন মসজিদ তারা নির্মাণ করতে দেবে না।</t>
  </si>
  <si>
    <t>ধর্ম মানুষের অন্তরাত্মাকে শান্তির অনুভূতি প্রদান করে। এটি তাকে মানসিক শান্তি এবং দৃষ্টিভঙ্গি অর্জন করতে সাহায্য করে, যা তাকে জীবনের যেকোনো চ্যালেঞ্জে সহায়তা করে।</t>
  </si>
  <si>
    <t>কালীমন্দির ভাঙচুর, লুটপাটের প্রতিবাদে দেবিদ্বারে সংখ্যালঘু সম্প্রদায়ের সংবাদ সম্মেলন</t>
  </si>
  <si>
    <t>এক ধর্মীয় গোষ্ঠী পরিবেশবাদী আন্দোলনে অংশ নেওয়া কর্মীদের 'ধর্মবিরোধী' ঘোষণা করে হত্যা করে; এতে ২৮ জন প্রাণ হারান।</t>
  </si>
  <si>
    <t>ইফতারে আল্লাহ'র কাছে হাত তুলতে ভুল করবেন না ওদের বিরুদ্ধে সবাই।</t>
  </si>
  <si>
    <t>নরসিংদীতে হিন্দু ধর্মীয় অনুষ্ঠানের দিন রাতে স্থানীয় মন্দিরে আগুন লাগিয়ে প্রতিমা ও ধর্মীয় সরঞ্জাম পুড়িয়ে ফেলা হয়।</t>
  </si>
  <si>
    <t>১৯৮৭ সালের অক্টোবরে এই গ্যাং এর একদল যুবক পার্সি বংশোদ্ভূত বাঙ্গালি পুরুষ নওরোজ মোদীকে আক্রমণ করে। যাকে হিন্দু বলে ভাবা হয়েছিল। কিন্তু তিনি জরথুস্ত্রীয়। যখন তিনি তার বন্ধুর সাথে গোল্ড কোস্ট ক্যাফে ছেড়ে বের হচ্ছিলেন। আক্রমণের ফলে তিনি কোমায় চলে যান। চার দিন পরে তিনি মারা যান।</t>
  </si>
  <si>
    <t>নির্যাতনের প্রতিবাদে হিন্দুত্ব ছেড়ে বৌদ্ধ হলেন কয়েকশ দলিত</t>
  </si>
  <si>
    <t>খোজ নিলে দেখা যাবে এই সাংবাদিকের ঘরের মা বোনই বেশি অবাধ্য। পাপ পূন্যের হিসাব তো যে করার সেই করবে। এই সাংবাদিক তো আর করবে না। ভাইরাল হওয়ার জন্য কি অভিনয়!!!</t>
  </si>
  <si>
    <t>প্রতিনিয়ত কর্ম ও মানুষের পাপ থেকে মুক্তির পথ এবং স্বর্গ/পরমধাম/ঈশ্বরলোক/বা ঈশ্বরের আরাধনার জন্য ঈশ্বরের উপহার স্থান যাই বলুন না কেন, তার বর্ণনা ঈশ্বর দিয়েছেন। ঈশ্বর যে সর্বশক্তিমান, তা স্পষ্ট বর্ণনা সনাতন তথা হিন্দু ধর্মের গীতাতেই আছে।</t>
  </si>
  <si>
    <t>এরা কি এখনও বসে বসে দেখবে? নাকি তাদেরও কোন সার্থ আছে তাই মাঠে না নেমে মুখে বয়ান দিচ্ছে।</t>
  </si>
  <si>
    <t>বাংলাদেশের দুটি মসজিদে সন্ত্রাসী হামলার ঘটনায় সৃষ্ট বিতর্কে মিডিয়ার বিরুদ্ধে ক্ষুব্ধি প্রকাশ করা হয়। হামলার দায়ভার চাপানোর চেষ্টা ‘হাস্যকর’ বলে উল্লেখ করা হয়েছে।</t>
  </si>
  <si>
    <t>আরিফুল ইসলাম নামে এক ব্যাক্তি মোটরসাইকেল করে এসে লাঠি ও ধারালো অস্ত্র দিয়ে মন্দিরে প্রতিমা ভাংচূর করে। মন্দিরে দুটি লক্ষী মন্দির, একটি কালী মন্দির ও একটি শিব মন্দির ছিল।</t>
  </si>
  <si>
    <t>বর্তমান সরকারের আমলে হিন্দু সম্প্রদায়ের মানুষ ইসলাম ধর্মের প্রতি যে পরিবর্তন লক্ষ্য করেছেন, তা আগের সময়ের তুলনায় ভিন্নধর্মী অভিজ্ঞতা সৃষ্টি করেছে।</t>
  </si>
  <si>
    <t>তারা বিশেষত হিন্দু সংখ্যালঘুদের আক্রমণ করে, তাদের বাড়িঘর ও ব্যবসা-প্রতিষ্ঠান ধ্বংস করে, তাদের মন্দির ভাঙচুর করে এবং আগুন ধরিয়ে দেয়। সম্প্রদায়ের নেতাদের মতে, ২০ টি জেলায় ৫০ টিরও বেশি হিন্দু মন্দির এবং ১,৫০০ হিন্দু বাড়িঘর ধ্বংস করা হয়</t>
  </si>
  <si>
    <t>আল্লাহ যারা আমাদের পবিত্র আল কোরআন পড়েছে তাদেরকে হেদায়েত দাও না হয় গজব দিয়ে ধ্বংস করে দাও</t>
  </si>
  <si>
    <t>আমাদের চেয়ারম্যান ডিপার্টমেন্টের কোনায় নামাজ পড়ার জায়গা বানিয়েছেন পাশে মসজিদ থাকা সত্ত্বেও।</t>
  </si>
  <si>
    <t>নেত্রকোনায় ধর্মীয় বিদ্বেষ থেকে সংঘর্ষে ৪০ জন নিহত হন। পুলিশ পরিস্থিতি নিয়ন্ত্রণে থাকলেও সহিংসতা কমেনি। সরকার শান্ত ও ধর্মীয় সহিষ্ণুতা বজায় রাখতে সবাইকে আহ্বান জানায়। বহু সংখ্যালঘু পরিবার নিরাপত্তার অভাবে আশ্রয় খুঁজে নেয়।</t>
  </si>
  <si>
    <t>২০২০ সালের মার্চ মাসে এক গোষ্ঠী ধর্মীয় নীতিভ্রষ্টতায় এক এতিম শিশুকে যৌন নির্যাতন করে হত্যা করে, পরে ১০ জন আত্মহত্যা করে।</t>
  </si>
  <si>
    <t>বোরকাতেই সুশীলদের যত সমস্যা!যদি ছোট কোনো ড্রেসে ছবি দিতো তখন কোনো সমস্যা ছিলো না। এরাই মেয়েটাকে উপভোগ করতো। হায়রে সুশীল!</t>
  </si>
  <si>
    <t>চর ভদ্রাসনের হিন্দু অধ্যুষিত গ্রামগুলিতে আক্রমণ করে সেনাবাহিনী। মে এর মাঝামাঝি এক সকালে, প্রায় ৬ টার দিকে হামলাকারীরা তিনদিক থেকে বৈদ্যডাঙ্গী, মাঝিদাঙ্গী এবং বালাদাঙ্গী এই তিনটি গ্রামকে ঘিরে রেখেছিল। তারা ৩০০-৩৫০ হিন্দু পরিবার এবং প্রায় ৫০ থেকে ৬০ জন নিরস্ত্র হিন্দু পুরুষ ও মহিলাকে হত্যা, লুট করে আগুন ধরিয়ে দেয়, জীবিত বাকিরা পালিয়ে যায়।</t>
  </si>
  <si>
    <t>নারীবাদ ইসলামবিরোধী আদর্শ, মুসলিম সমাজে এদের স্থান নেই, এরা ধর্ম ধ্বংসের হাতিয়ার।</t>
  </si>
  <si>
    <t>হিন্দু ও মুসলমান দাঙ্গায় শতাধিক নিহত এবং ৪৩৮ আহত হয়।</t>
  </si>
  <si>
    <t>নিজ ধর্ম নিয়ে ভিডিও করলে হিন্দু ধর্ম নিয়ে আঘাত লাগে, জেলে নিয়েও গাটস কমে না।</t>
  </si>
  <si>
    <t>১৮ আগস্ট ২০২৪ নোয়াখালীর সোনাইমুড়িতে দুর্গাপূজার আগেই একদল দুর্বৃত্ত প্রতিমা তৈরি স্থানটি ধ্বংস করে মৃৎশিল্পীদের তাড়িয়ে দেয়</t>
  </si>
  <si>
    <t>হিন্দু সম্প্রদায়ের কিছু অংশ ধর্মীয় উগ্রতা ছড়িয়ে দেশে সাম্প্রদায়িক অশান্তি সৃষ্টি করছে।</t>
  </si>
  <si>
    <t>যে কোরআনকে অবমাননা করবে তার শাস্তি দেওয়া হোক ৩০ পারা অনুবাদ সহ মুখস্থ করা।তাহলে সে এক সময় নিজেই বুঝবে যে সে কি করলো।</t>
  </si>
  <si>
    <t>যশোর জেলার অভয়নগর উপজেলায় ৫ জানুয়ারীতে ৭০ থেকে ৮০ জন বিএনপির নেতাকর্মী ; সকাল দশটার দিকে অন্তত ৫ জন হিন্দুর উপর ভোট দেওয়ার অপরাধে আক্রমণ করে।</t>
  </si>
  <si>
    <t>১৪ আগস্ট ২০২৩ সিরাজগঞ্জের উল্লাপাড়ায় একটি হরিসভা মন্দিরে প্রতিমা ছুঁড়ে মাটিতে ফেলে দেয়া হয়</t>
  </si>
  <si>
    <t>এই পরিস্থিতিতেই ১৬ অগস্ট থেকে ২০ অগস্ট পর্যন্ত উভয় ধর্মের প্রায় চার হাজার মানুষ নিহত হন এবং দশ হাজার মানুষ আহত হন। এই বিভীষিকাময় সময়েও কেউ কেউ জীবনের বিনিময়ে পথে নেমেছিলেন সাম্প্রদায়িক অশান্তি প্রতিহত করতে।</t>
  </si>
  <si>
    <t>খ্রিস্টান শাসকরা হিন্দুদের জোর করে ধর্মান্তরিত করেছে, আইন করে তাদের ধর্ম পালনের অধিকার কেড়ে নিয়েছে, এটা ধর্মীয় বর্বরতা।</t>
  </si>
  <si>
    <t>বাংলাদেশে কিছু ব্যক্তি সামাজিক নিয়মের বাইরে গিয়ে ইসলাম ধর্ম গ্রহণ করেছিলেন, যা ঐ সময়ের প্রচলিত ধারণার বিরুদ্ধে ছিল।</t>
  </si>
  <si>
    <t>১০ অক্টোবর রায়পুর ও রামগঞ্জে লুণ্ঠন, হত্যা, অগ্নিকাণ্ড শুরু হয়। ১৪ অক্টোবরে রায়গঞ্জ বাজার সংলগ্ন গ্রামগুলোতে অগ্নিকাণ্ড দেখতে পেয়ে প্রায় দুইশত নরনারী স্থানীয় থানায় আশ্রয় নেয়। সংগঠিত মুসলিম জনতা এসময় রায়পুরের সকল দেবদেবীর বিগ্রহ ভেঙ্গে ফেলে, মন্দিরগুলো ধ্বংস করে এবং হিন্দু দোকান-বাড়িঘর লুটকরে থানায় প্রবেশ করে।</t>
  </si>
  <si>
    <t>কুঞ্জ কুমার নামে বৃদ্ধকে জ্যান্ত পুড়িয়ে হত্যা করে দাঙ্গাকারীরা।[৩৪] ১৩ অক্টোবর দুপুর ১২টার সময় মারাত্মক অস্ত্রসস্ত্রে সজ্জিত ২০০-২৫০ জনের মুসলিমদের একটি দল চাঙ্গিরগাঁও এর হিন্দুদের উপর হামলে পড়ে। তারা হিন্দুদের ১,৫০০ মণ ধান পুড়িয়ে ভস্মে পরিণত করে দেয়। এলাকার সমস্ত মন্দির গুড়িয়ে দেয়া হয়। তারা সকল হিন্দু মহিলাদের শাঁখা ভেঙ্গে ফেলে, সিঁথির সিঁদুর মুছে দেয় আর হিন্দু পুরুষদের নামাজ পড়তে বাধ্য করে। [৩৫]</t>
  </si>
  <si>
    <t>রাজনৈতিক প্রভাবের মাধ্যমে খ্রিস্ট ধর্ম মার্কিন সমাজে যে নিয়ন্ত্রণ প্রতিষ্ঠা করেছে, তা কমানোর জন্য শয়তানের মন্দির কাজ করছে।</t>
  </si>
  <si>
    <t>"সুবহানাল্লাহ, আমি আজ বুঝে বা না বুঝে বিশ্বাস করি বৈজ্ঞানিক ব্যাখ্যাগুলো, অথচ আল্লাহর কথাগুলো কেন বিশ্বাস করব না?</t>
  </si>
  <si>
    <t>পর্তুগীজ বসবাসকারীরাই হলেন বাংলার প্রথম খ্রিস্টান, দেশীয় খ্রিস্টানরা হলেন তাদের বংশধর। পরবর্তীতে খ্রিস্ট ধর্মবিশ্বাসের বিস্তার লাভের মাধ্যমে খ্রিস্টান জনগণের সংখ্যাও বৃদ্ধি পায়।</t>
  </si>
  <si>
    <t>এই সিরিজ মুসলিমদের হিংস্র, বিভেদ ছড়ানো জাতি হিসেবে দেখিয়ে হিন্দুদের ভয় পাইয়ে দিতে চায়, যা ইসলাম ও মুসলমানদের বিরুদ্ধে স্পষ্ট এক ষড়যন্ত্র।</t>
  </si>
  <si>
    <t>ইসলাম ধর্মের অনুসারীদের মতে কাবাকে সবচেয়ে পবিত্র স্থান হিসেবে মনে করা হয়।[১] এটি মুসলমানদের কিবলা, অর্থাৎ তারা যে দিকে মুখ করে নামাজ পড়ে বা সালাত আদায় করে।</t>
  </si>
  <si>
    <t>বৌদ্ধ সম্প্রদায়ের কিছু সদস্য ধর্মীয় বিদ্বেষ ছড়িয়ে সমাজে অশান্তি ও বিভাজন সৃষ্টি করছে।</t>
  </si>
  <si>
    <t>ধর্মীয় অনুভূতিকে কেন্দ্র করে সহিংসতা ছড়াতে উগ্র গোষ্ঠীগুলো তৎপর, জনগণের আবেগকে পুঁজি করে তারা মন্দির ভাঙচুর ও হামলার মাধ্যমে অস্থিতিশীলতা সৃষ্টি করতে চায়</t>
  </si>
  <si>
    <t>ঝিনাইদহে ধর্মীয় অনুষ্ঠানে বাধা দিয়ে সাউন্ড সিস্টেম বন্ধ করে দেয় স্থানীয় এক মৌলবাদী গোষ্ঠী।</t>
  </si>
  <si>
    <t>এটা ঠিক না ওনার শাস্তি হওয়া উচিত অন্যের ধর্মকে যে সম্মান জানায় না সে নিজে ধর্মরূপ সম্মান করে না সেহেতু উনার জোর শাস্তি দাবি</t>
  </si>
  <si>
    <t>যারা সুন্নাহ অনুযায়ী জীবন চালাবে না তাদের জন্য এই দেশে আল্লাহর শাস্তির পাশাপাশি বিধর্মীদের হাতে মসজিদ পোড়া ও মুসলমানদের রক্ত ঝরার দিন ফিরিয়ে আনা অনিবার্য হয়ে পড়বে।</t>
  </si>
  <si>
    <t>এই হত্যাকাণ্ডের পেছনে ধর্মীয় বিদ্বেষমূলক চিন্তা কাজ করেছে যেখানে আত্মঘাতী হামলার পরিকল্পনা ও ইসলামবিরোধী বক্তব্যসহ মধ্যযুগীয় ধর্মযুদ্ধের ইতিহাসও উল্লেখ ছিল, যা একটি ভয়ংকর ধর্মীয় নৃশংসতার প্রমাণ।</t>
  </si>
  <si>
    <t>বাংলাদেশের প্রতিটি মানুষের জন্য দেশীয় পণ্য বর্জন ও বয়কট ঈমানি ও নৈতিক দায়িত্ব, যদিও কিছু লোক আমাদের এ জন্য গালাগালি করেন।</t>
  </si>
  <si>
    <t>কিছুক্ষনের মাঝেই মারাত্মক প্রাণঘাতী অস্ত্র হাতে ২,০০০ উন্মত্ত মুসলিম ঝাঁপিয়ে পড়ে নিরস্ত্র অসহায় হিন্দুদের উপরে।সেখানে ৩ জন ভাগ্যহত হিন্দু নির্মম ভাবে নিহত হয় এবং আর ১২ জনের বেশি আহত হয়।</t>
  </si>
  <si>
    <t>তানজিম সাকিব যেসব স্ট্যাটাস দিসে ধর্মীয় দৃষ্টিকোণ থেকে সব ঠিকই আছে। কোনো ভুল নাই।</t>
  </si>
  <si>
    <t>বেশিরভাগ হিন্দু সম্প্রদায়, বিশেষ করে উত্তর অঞ্চলে, দুই বছরের কম বয়সী শিশুদের মৃতদেহ সমাধি করে।</t>
  </si>
  <si>
    <t>ধর্মের প্রতি অবমাননা আমাদের মানবিকতার একটি নিখুঁত হানি। ধর্মের নামে সমাজের মধ্যে অপমান, বিভ্রান্তি এবং অস্তিত্ব সংকট নিয়ে আসতে দেখেছি।</t>
  </si>
  <si>
    <t>কেবল আল্লাহ্‌র পক্ষ হইতে পৌঁছান এবং তাঁহার বাণী প্রচারই আমার দায়িত্ব। যাহারা আল্লাহ্ ও তাঁহার রাসূলকে অমান্য করে তাহাদের জন্য রহিয়াছে জাহান্নামের অগ্নি, সেখানে তাহারা চিরস্থায়ী হইবে।</t>
  </si>
  <si>
    <t>মিস্ট্রিপাড়ার মেয়র ইসলাম নিয়ে বক্তব্যের ব্যাপারে ইসলামপন্থী সংগঠনগুলো যখন প্রতিবাদ করছে, সেই সুযোগ নিয়ে কোন গোষ্ঠী গুজব ছড়িয়ে ভিন্ন পরিবেশ সৃষ্টির চেষ্টা করছে।</t>
  </si>
  <si>
    <t>২০০৫ সালের ২৪ মার্চ বসুন্ধরার একটি অ্যাপার্টমেন্টে পাওয়া অস্থায়ী হিন্দু মন্দিরের ধর্মীয় জিনিসপত্র ধ্বংস করা হয়। নিয়মলঙ্ঘনকারীদের কারাদণ্ড এবং বেত্রাঘাতের মতো শাস্তির সম্মুখীন হতে হয়।</t>
  </si>
  <si>
    <t>কিশোরগঞ্জে মসজিদে অশ্লীল চিঠি রেখে যায় একদল দুর্বৃত্ত, মুসল্লিরা ক্ষুব্ধ প্রতিক্রিয়া জানায়।</t>
  </si>
  <si>
    <t>ধর্মীয় নৃশংসতা থেকে বাঁচতে হলে সন্তানকে শুধু মাওলানা, মুফতি, বক্তা, হাফেজ, পীর না বানিয়ে মুসলিম বিশ্বের নবপ্রজন্মকে পাশাপাশি পরমাণু বিজ্ঞানী, ডাক্তার, প্রকৌশলী, সাহিত্য-সংস্কৃতি ও তথ্যপ্রযুক্তি বিশারদ হিসেবে গড়ে তুলতে হবে।</t>
  </si>
  <si>
    <t>ধর্ম মানুষকে দুনিয়ার অসারতা অনুধাবন করতে শেখায়, যা তাকে পরকালীন জীবনের ভাবনায় শান্তি ও সান্ত্বনা অর্জনে সহায়তা করে এবং স্বাভাবিক জীবনযাপনে উদ্বুদ্ধ করে।</t>
  </si>
  <si>
    <t>সৎ ও ঈমানদার ব্যক্তিরা তাদের প্রশ্নের সঠিক উত্তর দিতে সক্ষম হবে, এবং আল্লাহর রহমতে তারা শান্তি ও সফলতার জীবন লাভ করবে।</t>
  </si>
  <si>
    <t>জানাজা হলো মৃতদেহের নামাজ, যা মুসলিম সমাজের ফরযে কেফায়া ধর্মীয় দায়িত্ব।</t>
  </si>
  <si>
    <t>এক গোষ্ঠী ধর্মীয় মেলায় হামলা চালিয়ে ২৮ জন প্রাণ হারায়।</t>
  </si>
  <si>
    <t>চৈতন্য তাঁর অনুসারীদের নিয়ে কাজীর বাড়িতে আক্রমণ করেন এবং বলেন সকল মুসলমানকে ধ্বংস করো।</t>
  </si>
  <si>
    <t>ব্রাহ্মনপাড়ায় পশ্চিম কালুডাঙ্গা দুর্গা মন্দিরে রাত সাড়ে ১০টায় একদল লোক হামলা চালিয়ে প্রতিমা ভাঙচুর ও আগুন দেয় যা ধর্মীয় সহিংসতার ভয়ংকর উদাহরণ।</t>
  </si>
  <si>
    <t>২০১৬ সালের জানুয়ারিতে এক মসজিদে গ্যাস বিস্ফোরণে ৩৫ জন নিহত হয়, এই ঘটনায় স্থানীয় এলাকায় আতঙ্ক ছড়ায়।</t>
  </si>
  <si>
    <t>হে আল্লাহ আপনি সাহায্য করুন আমরাতো দুর্বল মালিক এই দেশে ইসলাম নিয়ে খেলা চলছে আমরা কিছুই করতে পারছিনা, কুরআন অবমাননা কারীদের তুমি দেখে নিও।</t>
  </si>
  <si>
    <t>১৫০৬-০৭ সালে গুরু নানকের মাধ্যমে ধর্মের প্রবর্তন হয় এবং তাঁর অনুসারীরা ধর্ম প্রচার চালিয়ে যান। কিছু বাঙালি ধর্ম গ্রহণ করে শিখ সম্প্রদায় গড়ে ওঠে।</t>
  </si>
  <si>
    <t>মানুষ কখনো ভগবান হতে পারে না না এই পৃথিবীতে একটা মানুষ যতই শক্তিশালী হোক। ঈশ্বরের সঙ্গের সাথে যদি না মেলে তাহলে সে ভগবান না ঈশ্বর সবার উপরে।</t>
  </si>
  <si>
    <t>হত্যাকাণ্ড ঘিরে বিতর্ক এখনো হিন্দু-মুসলিম দুই সম্প্রদায়ের দায় ও নেতৃত্বের ভূমিকা নিয়ে চলমান।</t>
  </si>
  <si>
    <t>পেট্রোল কেরোসিন দিয়ে ঘর জ্বালিয়ে নিরীহ হিন্দুদের পুড়িয়ে মারা হয় শুধু মাত্র তারা হিন্দু বলে। মানবতা আর কোথায় গেলো !</t>
  </si>
  <si>
    <t>১৭ জুন, হিন্দু-মুসলিম হানাহানিতে বহু মানুষ নিহত হয়েছে, যা দেশের সাম্প্রদায়িক সম্প্রীতির জন্য গভীর হুমকি।</t>
  </si>
  <si>
    <t>মুক্তিযুদ্ধে কিভাবে ধর্মকে ব্যবহার করে বাঙ্গালি জাতিকে খণ্ডিত করার অপচেষ্টা করা হয়েছিল। মনে পড়লো স্বাধীনতা পরবর্তি সময়ে এই দেশের মানুষের মগজে কিভাবে সাম্প্রদায়িকতার বীজ ঢুকিয়ে দিয়ে মানুষে মানুষে বিভাজন সৃষ্টির অপচেষ্টা করা হয়েছিল। বুঝতে পারলাম, বর্তমান খণ্ডিত রূপটা আসলে সেই বীজ থেকে সৃষ্ট। ধীরে ধীরে যা বটবৃক্ষে রূপ নিচ্ছে।</t>
  </si>
  <si>
    <t>ঝিনাইদহে পুরানো একটি গির্জার দরজায় আগুন লাগিয়ে ধর্মীয় স্লোগান লেখা দেয়ালে লিখে যায় দুর্বৃত্তরা।</t>
  </si>
  <si>
    <t>এক গোষ্ঠী সংখ্যালঘুদের সম্পত্তি দখল করতে গিয়ে সংঘর্ষে ২২ জন নিহত হয়।</t>
  </si>
  <si>
    <t>কুরআন অবমাননার’ ঘটনাটি মুসলমানদের অনুভূতিতে আঘাত সৃষ্টিকর। পুলিশের গুলিতে অন্তত সাত জন নিহত হওয়ার পর দেশজুড়ে উত্তেজনা ছড়িয়ে পড়ে এবং পূজা উৎসব প্যান্ডেলে হামলা হয়।</t>
  </si>
  <si>
    <t>গাজীপুর জেলাতে মুসলিম জনতা ১৩ অক্টোবর কাশিমপুর সুবল দাশের পারিবারিক মন্দির ও কাশিমপুর বাজার কালী মন্দিরে ভাঙচুর ও লুটপাট করা হয়।[৩৬] কাশিমপুরের শ্রীশ্রী রাধা গোবিন্দ মন্দিরে ১৪ অক্টোবর সকালে হামলা চালানো হয়।</t>
  </si>
  <si>
    <t>এক তরুণ ধর্মান্তরিত হওয়ায় তাকে তার নিজ পরিবার গণপিটুনিতে হত্যা করে, ঘটনায় ১২ জন প্রাণ হারান।</t>
  </si>
  <si>
    <t>ইসলামী অনুশাসনের অন্যতম গুরুত্বপূর্ণ উৎস হলো হাদিস সংকলন, যেখানে নবী মুহাম্মাদের মৌখিক এবং আচরণগত শিক্ষা ও রীতিনীতির বিবরণ পাওয়া যায়।</t>
  </si>
  <si>
    <t>অতএব যারা দুনিয়ার বিনিময়ে আখিরাত ক্রয় করে তারা যেন আল্লাহর পথে সংগ্রাম করে; এবং যে আল্লাহর পথে যুদ্ধ করে, অতঃপর বিজয়ী হয়, তাহলে আমি তাকে মহান প্রতিদান প্রদান করব।</t>
  </si>
  <si>
    <t>আলাদা আলাদা ৬টি দিক থেকে আল্লাহর কাছে দোয়া করা উচিত: সুস্থতা, হালাল রোজগার, নিরাপদ বাসস্থান, নেক স্বামী/স্ত্রী, নেক সন্তান ও ঈমানসহ মৃত্যু।</t>
  </si>
  <si>
    <t>কুমিল্লায় সাম্প্রদায়িক বিদ্বেষের কারণে হিন্দু ও মুসলিমদের মধ্যে সংঘর্ষ হয়, যেখানে সংঘর্ষকারীরা দোকান-ঘর ভাঙচুর ও আগুন লাগিয়ে দেয়। এ সংঘর্ষে অন্তত ৩০ জন নিহত হয় এবং শতাধিক মানুষ আহত হয়। পরিস্থিতি নিয়ন্ত্রণে নিতে নিরাপত্তা বাহিনী মোতায়েন করা হলেও, সংঘর্ষ থামাতে তৎপরতা সত্ত্বেও বহু মানুষ গৃহহীন হয়।</t>
  </si>
  <si>
    <t>জানাযা মৃত মুসলমানকে কবর দেয়ার পূর্বে অনুষ্ঠিত একটি বিশেষ প্রার্থনা।</t>
  </si>
  <si>
    <t>এরা কি আদৌ মুসলমান??? এদের মধ্যে কি একজনও মুসলমান নাই!???</t>
  </si>
  <si>
    <t>ইসলামের বিরোধিতা, কার আশ্রয়তলে কতদিনের ক্ষমতা? হায়রে মানুষ...... দম ফুরালেই ঠুস...</t>
  </si>
  <si>
    <t>১৫৬৬ সালে, যখন ক্যাথলিক মিছিলটি একটি প্রোটেস্ট্যান্ট পাড়ায় পৌঁছায়, প্রোটেস্ট্যান্টরা "হত্যা করো, হত্যা করো, হত্যা করো!!" স্লোগান দেয় এবং এরপরে অসংখ্য প্রাণহানির সাথে সাম্প্রদায়িক সহিংসতার দিনগুলি চলে।</t>
  </si>
  <si>
    <t>ধর্মের নামে গ্রামে পানি ও ওষুধ সরবরাহ বন্ধ করে দেয়া হয়, যার ফলে মহামারীতে ৭৩ জন মানুষ মারা যায়।</t>
  </si>
  <si>
    <t>ফরিদপুরের আলফাডাঙ্গায় এক রাতে ৩টি মন্দিরের ১০টি প্রতিমা ভাঙচুরের ঘটনা ঘটেছে। ওই ঘটনায় প্রতিবাদ জানিয়ে আজ রোববার আলফাডাঙ্গা চৌরাস্তা এলাকায় মানববন্ধন করেছে উপজেলা হিন্দু বৌদ্ধ খ্রিস্টান ঐক্য পরিষদসহ সনাতনী বিভিন্ন সংগঠন।</t>
  </si>
  <si>
    <t>সিরাজগঞ্জে একটি মন্দিরে ‘অন্য ধর্ম গ্রহণ করো’ লেখা পুস্তিকা রেখে দেয়া হয়, যা পরবর্তীতে জনরোষের সৃষ্টি করে।</t>
  </si>
  <si>
    <t>ঢাকা বিশ্ববিদ্যালয়ে প্রোডাক্টিভিটি রমাদান প্রোগ্রামে হামলা করা হয়, আর বটতলায় আরবি শিক্ষা নিয়ে কলা অনুষদের ডিন ও আরবি বিভাগের চেয়ারম্যানকে শোকজ দেওয়া হয়।</t>
  </si>
  <si>
    <t>আরবিতে ‘লাইলাতুল কদর’, বাংলায় কদর রজনী, এর ফারসি হলো- শবে কদর। অর্থ সম্মানিত রজনী কিংবা ভাগ্যনির্ধারণী রজনী। রমজানের শেষ দশকের বেজোড় রাতগুলোর যেকোনও একটি রাত শবে কদর।</t>
  </si>
  <si>
    <t>দেশের হিন্দু সম্প্রদায়ের কাজ না, চক্রান্তের মাধ্যমে সু-পরিকল্পিত ভাবে করানো হয়েছে। কেননা এই দেশের হিন্দু ধর্মের মানুষেরা এত বড় ঝুকি নিবে না। এর পরেও দালাল সরকার বলে কথা!</t>
  </si>
  <si>
    <t>কোরআন অবমাননা কারীদের সঠিক বিচার করা হক,আমি মুসলিম হিসেবে বলছি তাদের বিরুদ্ধে যুদ্ধ ঘোষণা করা হক।</t>
  </si>
  <si>
    <t>এক বছর আগেও যেই লোকটা কুরআন নিয়ে হাসি মজা করেছে, জান্নাত জাহান্নাম নিয়ে আজেবাজে কথা বলেছে, সেই লোকটা এক বছরের মাথায় লিটারালি সূফি হয়ে মৃত্যুবরণ করলো।</t>
  </si>
  <si>
    <t>আরেক শ্রেনীর হিন্দু মন্দির তৈরী, তিলক সেবা, কীর্তন করা, ও শুধু পুজা করতে চাই কিন্তু হিন্দু রক্ষার আন্দোলন, হিন্দু অনুসারী বাড়াতে কোন কাজ করে না।</t>
  </si>
  <si>
    <t>সাতক্ষীরায় মন্দিরে ঢুকে পূজার ঘণ্টা ও ঢাক চুরি করে নিয়ে যায় দুর্বৃত্তরা, যা পুজোর কার্যক্রমে বিঘ্ন ঘটায়।</t>
  </si>
  <si>
    <t>১৫ বছর ধরে হিন্দু নির্যাতনের কারণে কাউকে শাস্তি দেয়া হয়নি। এর আগে চট্টগ্রামের রাউজানে, কক্সবাজারের রামু, নাসিরনগর, যশোরের অভয়নগরসহ একের পর এক ঘটনা ঘটছে৷ এতকিছুর পর সরকার নীরব ভূমিকা পালন করে যাচ্ছে।’</t>
  </si>
  <si>
    <t>সাতক্ষীরায় বৌদ্ধ বিহারে সন্ধ্যাবেলায় মূর্তির গায়ে তেল ছিটিয়ে আগুন ধরানো হয়, পরে তা পুরোপুরি পুড়ে যায়।</t>
  </si>
  <si>
    <t>সেই বেজন্মার উদ্দেশ্য সফল হবে (আমরা বিস্বাস করি যে আল্লাহ ছাড় দেন, কিন্তু ছেড়ে দেন না) প্রকৃত দোষীকে খুঁজে বের করে তাকে দুই ধর্মকেই অবমানিত করায় ও দেশের অরাজকতা সৃষ্টি করায় দেশদ্রোহীর সাজা দেওয়া হোক।</t>
  </si>
  <si>
    <t>কালিগঞ্জ গণহত্যায় সেনাবাহিনীর হাতে প্রায় ৪০০ বাঙালি হিন্দু প্রাণ হারান কথিত আছে, গণহত্যার পরিকল্পনা করেন কনভেনশন মুসলিম লীগ নেতা ও কেন্দ্রীয় মন্ত্রী কাজী আব্দুল কাদের।</t>
  </si>
  <si>
    <t>২০১৩ সালের ২৮ ফেব্রুয়ারি, আন্তর্জাতিক অপরাধ ট্রাইব্যুনাল জামায়াত নেতা সাঈদীর মৃত্যুদণ্ড ঘোষণার পর, জামায়াত-শিবির কর্মীরা হিন্দুদের বাড়িঘর ও মন্দিরে হামলা চালায়। বহু হিন্দু পরিবার ক্ষতিগ্রস্ত হয়, এতে ১৮ জন নিহত হন।</t>
  </si>
  <si>
    <t>ধর্মীয় বিতর্কিত স্ট্যাটাস সরবরাহ করে বিভেদ করার মানসিকতা প্রতিফলিত হচ্ছে। এসব স্ট্যাটাস নিয়ে সবাই গালাগালি আর বিতর্ক করছে, অন্য কিছু নয়...</t>
  </si>
  <si>
    <t>আল বদর, রাজাকার ও কেন্দ্রীয় শান্তি কমিটি বাংলাদেশে আগুন লাগিয়ে লুটপাট ও মহিলাদের ধর্ষণ করেছে। গণহত্যার পর মৃতদেহ নির্জন বাড়ির কূপে ফেলে দেওয়া হয়।</t>
  </si>
  <si>
    <t>২৩ সেপ্টেম্বর ২০২৩ পাবনার সাঁথিয়ায় একটি কালীমন্দিরে শিলালিপি ও প্রধান প্রতিমাটি সম্পূর্ণরূপে ধ্বংস করে দেয়</t>
  </si>
  <si>
    <t>মহারাষ্ট্রের মালেগাঁওয়ে হিন্দু-মুসলিম সংঘর্ষে বহু মানুষ নিহত হন এবং সম্পত্তি ধ্বংস করা হয়।</t>
  </si>
  <si>
    <t>শহিদদের বিষয়ে আল্লাহ তায়ালা বলেছেন, আর আল্লাহর পথে যারা নিহত হয় তাদেরকে মৃত বলো না, বরং তারা জীবিত; কিন্তু তোমরা উপলব্ধি করতে পার না।</t>
  </si>
  <si>
    <t>হিন্দু ধর্মে অহিংসা বা non-violence-কে সর্বোচ্চ গুরুত্ব দেওয়া হয়, যা প্রতিটি মানুষের হৃদয়ে শান্তি প্রতিষ্ঠা করতে সাহায্য করে।</t>
  </si>
  <si>
    <t>এক গৃহপালিত অভিনেতাকে হিন্দু বলায়, তার জাতে লাগলো। যে পরিচয় তার অন্তরে আঘাত হানে, তাকে হিন্দু বললে যখন সমস্যা, তাহলে সে তার হিন্দু পরিচয় ত্যাগ করে না কেন?</t>
  </si>
  <si>
    <t>ইসলাম যে কত পাপ করেছে তার পুরো খেসারত দিতে হবে সকল মুসলমান দের কে।</t>
  </si>
  <si>
    <t>অবস্থান ত্যাগের পর খালিদ বিন ওয়ালিদ মুসলিমদের ওপর আক্রমণ করে, যার ফলে অনেক মুসলিম নিহত হয়।</t>
  </si>
  <si>
    <t>সিন্ধি বাহিনীকে হারিয়ে হিন্দু গণহত্যা করে ও তাদের দাসে পরিণত করেছিল । পরে হাজ্জাজ অন্য হিন্দু ও বৌদ্ধ রাজাদের দ্বারা পরিচালিত রাজ্যগুলিতে আক্রমণ করেছিল,</t>
  </si>
  <si>
    <t>বোধগয়ার মহাবোধি বিহার ও কুশিনগরের বুদ্ধস্তূপকে মন্দিরে রূপান্তর ধর্মীয় অপমান এবং বিশ্বাসের প্রতি আঘাত।</t>
  </si>
  <si>
    <t>কয়েকটি ফেক আইডির নেতিবাচক মন্তব্য স্যাকু সমাজে বিশৃঙ্খলা সৃষ্টি করেছে, যদিও মূলত পজিটিভ মন্তব্যই বেশি ছিল।</t>
  </si>
  <si>
    <t>বৌদ্ধদের পুরাতন অনেক বিহারের অস্তিত্ব আজও বাংলার মাটিতে বিদ্যমান রয়েছে। বৌদ্ধ ধর্মাবলম্বীরাই সর্বপ্রথম বাংলা ভাষায় কিছু ধর্মীয় গান রচনা করেছিলেন যেগুলো ‘চর্যাপদ’ নামে পরিচিত।</t>
  </si>
  <si>
    <t>বাংলাদেশের মুজাফফরনগর এলাকায় হিন্দু-মুসলিম সংঘর্ষে ৬০+ জন নিহত ও হাজার হাজার লোক ঘরছাড়া হয়।</t>
  </si>
  <si>
    <t>খ্রিস্টান ধর্মের মূল শিক্ষা হলো প্রেম, দয়া এবং সহানুভূতির মাধ্যমে মানবতার সেবা করা, যেখানে তাদের বিশ্বাস অনুযায়ী ঈশ্বরের প্রেমই পৃথিবীকে একে অপরকে সহানুভূতি ও ভালোবাসা দিয়ে গড়ে তোলার শক্তি দেয়।</t>
  </si>
  <si>
    <t>১১ জুলাই ২০২৩ নওগাঁর পোরশায় একটি কালীমন্দিরে ভোররাতে হামলা চালিয়ে প্রতিমার চোখ তুলে ফেলে দেয়া হয়</t>
  </si>
  <si>
    <t>ধর্মীয় স্থানেও ভাঙচুরের ঘটনা ঘটে। বাংলাদেশের জাতীয় মানবাধিকার কমিশন বলেছে, জমি হাতিয়ে নেওয়ার জন্য ধর্মীয় সংখ্যালঘুদের ওপর সুপরিকল্পিতভাবে হামলা করা হচ্ছে।</t>
  </si>
  <si>
    <t>চিতলমারীতে ফেসবুক পোস্ট নিয়ে বিক্ষুব্ধ জনতার সঙ্গে পুলিশের সংঘর্ষে ১২ পুলিশসহ ২৫ জন আহত হয়।</t>
  </si>
  <si>
    <t>পাঁচমিশালী বন্ধুবান্ধবের একজন স্বধর্মবিদ্বেষী ছিলেন, যিনি খ্রিস্টান ধর্মে ধর্মান্তরিত হওয়ার সিদ্ধান্ত নেন।</t>
  </si>
  <si>
    <t>ঢাকার কাছে কুমিল্লার মুরাদনগরের সম্প্রতি সনাতন ধর্মাবলম্বীদের বাড়ি ঘর, উপাসনালয়ে হামলা এবং ভাংচুর নিয়ে নানা আলোচনা হচ্ছে।</t>
  </si>
  <si>
    <t>নারায়ণগঞ্জে হিন্দুদের উপর মুসলিমদের চালানো বীভৎস গণহত্যা, ধর্ষণ, অপহরণ, নির্যাতন ও লুটপাটের ছবি সংগ্রহ করতে আসা অধ্যাপক রিচার্ড নোভাককে আদর্শ কটন মিলের কাছে হত্যা করা হয়।</t>
  </si>
  <si>
    <t>ইসলাম সত্যিকারের ধর্ম,এটা বুঝার জন্য ইসলাম সম্পর্কে পড়ুন, জ্ঞান অর্জন করুন। নিজ ধর্মের গ্রন্থ পড়ুন, দোয়া করুন সঠিক ধর্মের আলো পাবার জন্য, ইন্সাআল্লাহ আল্লাহ রব্বুল আলামীন আপনাকে পথ দেখাবেন।</t>
  </si>
  <si>
    <t>ধর্মীয় কারণে হাসপাতালে সংখ্যালঘুদের চিকিৎসা না দিয়ে তাদের মৃত্যুর দিকে ঠেলে দেয়া হয়; এতে ৪৮ জন মারা যান।</t>
  </si>
  <si>
    <t>একদল বেকুব মুসলমান যেখানে সেখানে কমেন্ট করে “ শান্তির ধর্ম ইসলাম গ্রহন করুন”, আরেকদল মুসলমান বলবে “অমুক কেন দাড়ি রাখলো তমুক কেন বৌকে বোরকা পরালো?”</t>
  </si>
  <si>
    <t>মুসলমানদের ধর্মীয় অনুভূতিতে আঘাত দেবার যেসব ঘটনার কথা আপনি বলছেন, সেগুলো কি আসলেই কোন হিন্দু লোক করেছে? তা নিয়ে কিন্তু সন্দেহ আছে।</t>
  </si>
  <si>
    <t>ইসলামি শাসন সময়কালে, ৬০ জন হিন্দু নিহত এবং ১৩৮ জন আহত হওয়ার খবর পাওয়া গেছে। এই সময়ের বেশিরভাগ সহিংসতা ছিল সাম্প্রদায়িক সহিংসতা।</t>
  </si>
  <si>
    <t>২১ আগস্ট, খুলনার পাইকগাছার লস্কর ইউনিয়নে হিন্দু সম্প্রদায়ের জায়গা জোর পুর্বক দখলের সময় বাঁধা দিলে প্রতিপক্ষের হামলা ও মারপিটে ১৩ জন আহত হয়।</t>
  </si>
  <si>
    <t>পুরান ঢাকার হোসেনি দালানে শিয়া সম্প্রদায়ের তাজিয়া মিছিলের প্রস্তুতির সময় বোমা হামলা চালানো হয়, যাতে বেশ কয়েকজন নিহত হন।</t>
  </si>
  <si>
    <t>বরাতের রাতে মৃতদের জন্য প্রার্থনা ও ক্ষমা প্রার্থনা করা অনেক শহরে সাধারণ রীতি। একটি হাদিসে উল্লেখ রয়েছে, নবী মুহাম্মদ (স.) বাকি' কবরস্থানে গিয়ে সেখানে সমাহিত মুসলমানদের জন্য প্রার্থনা করেছিলেন।</t>
  </si>
  <si>
    <t>এক নারী শিক্ষক হিজাব পরার কারণে স্কুল থেকে বরখাস্ত হন, পরে তাকে সামাজিকভাবে হেনস্থা করে আত্মহত্যায় বাধ্য করা হয়। মোট নিহত: ১ জন।</t>
  </si>
  <si>
    <t>সবচেয়ে বেশি আঘাত হেনেছে হিন্দু সম্প্রদায়ের সদস্যদের যারা তাদের জমি ও দোকান লুণ্ঠন করা হয়েছে, পরিকল্পিতভাবে হত্যা করা হয়েছে, এবং কিছু জায়গায়, "H" চিহ্নিত হলুদ প্যাচ দিয়ে আঁকা। এই সবই ইসলামাবাদ থেকে সামরিক আইনের অধীনে সরকারীভাবে অনুমোদিত, আদেশ এবং প্রয়োগ করা হয়েছে</t>
  </si>
  <si>
    <t>১৮ মার্চ, দেড় শতাধিক সশস্ত্র হামলাকারী খুলনা শহরের বণিকপাড়ার পাবল সর্বজনীন কালীবাড়ী মন্দিরে হামলা ও ভাঙচুর করে রাত সাড়ে ৯ টার দিকে। আগুনের বিস্ফোরণ করার পরে তারা ওই অঞ্চলে হিন্দুদের বাড়িঘর ও দোকানপাট ভাঙচুর করে।</t>
  </si>
  <si>
    <t>কুষ্টিয়ায় সাইনবোর্ড ঝুলিয়ে হিন্দু পরিবারের সম্পত্তি দখলের পায়তারা</t>
  </si>
  <si>
    <t>খ্রিস্টান ধর্মের একটি গুরুত্বপূর্ণ শিক্ষা হলো দয়া এবং ক্ষমা, যেখানে তাদের বিশ্বাস অনুযায়ী, ঈশ্বর আমাদের সকল ভুল ক্ষমা করে দেন, এবং আমাদেরও একে অপরকে ক্ষমা করে দিয়ে শান্তি এবং ঐক্য প্রতিষ্ঠা করতে হবে, কোনো ধরনের অশান্তি বা সহিংসতা সৃষ্টি না করে।</t>
  </si>
  <si>
    <t>পাবনার একটি গির্জার প্রার্থনার সময় বিদ্যুৎ সংযোগ বিচ্ছিন্ন করে শব্দযন্ত্র বাজিয়ে প্রার্থনা ব্যাহত করা হয়।</t>
  </si>
  <si>
    <t>২০১৮ সালের ডিসেম্বর মাসে এক গোষ্ঠী ধর্মীয় গোষ্ঠীর মধ্যে সংঘর্ষে ৩৩ জন নিহত হয়; আহত হয় বহু মানুষ।</t>
  </si>
  <si>
    <t>যে কোন সমস্যা নিয়ে আল্লাহর কাছে দোয়া চাইতে হবে নিজের মধ্যে সেই কনফিডেন্স রাখতে হবে যে আমার দোয়া আল্লাহ কবুল করবেন।</t>
  </si>
  <si>
    <t>ধর্মীয় পরিচয়ের কারণে ঘৃণা আর লাঞ্ছনার শিকার হয়ে আত্মহননের আগে সে বুঝতেই পারেনি এই জীবনটাও তার ছিল কিছুটা নিজের মতো করে বাঁচার অধিকার নিয়ে।</t>
  </si>
  <si>
    <t>ইসলামের পূর্ণাঙ্গ অর্থ শান্তি সম্প্রিতী বজায় রাখা তবে কিছু জনগোষ্ঠী নিজস্ব স্বার্থ হাসিলে ইসলাম ধর্ম-কে ব্যাবহার করে</t>
  </si>
  <si>
    <t>তাদের কাছে এটা খুবই সাধারণ, তার একটা ফানি পোস্টে নেকি হচ্ছে না গুনাহ হচ্ছে কোনো চিন্তা নেই</t>
  </si>
  <si>
    <t>রাজাপুরে কালি মন্দির পুড়িয়ে দিয়েছে সন্ত্রাসীরা</t>
  </si>
  <si>
    <t>এদেশে মুসলমানরাই সবথেকে বেশি হেরেসমেন্ট আর সাইবার বুলিংয়ের শিকার হন।সকলের ঐক্যবদ্ব প্রতিবাদই এটা প্রতিরোধ করতে পারে।</t>
  </si>
  <si>
    <t>ধর্ম পালন মানে শান্তি ও শ্রদ্ধা; অন্য ধর্মকে অপমান কোনো ধর্মই সমর্থন করে না।</t>
  </si>
  <si>
    <t>মন্দিরে প্রতিমা ভাঙচুরের ঘটনায় পুলিশ তদন্তে নেমেছে বলে জানালেন ওসি বদিউজ্জামান। ঘটনাটি ধর্মীয় সহনশীলতার ওপর হুমকি তৈরি করেছে বলে মনে করছেন স্থানীয়রা।</t>
  </si>
  <si>
    <t>এক খ্রিস্টান সম্প্রদায়ের বাড়ি-ঘর ভাঙচুর করে আগুন দেয়া হয়, এতে অন্তত ১৫ জন নিহত হন।</t>
  </si>
  <si>
    <t>উগ্রপন্থীদের প্রতি তীব্র ঘৃণা প্রকাশ করে বলা হয়েছে, কিছু মেরুদণ্ডহীন ব্যক্তি ধর্ম নিয়ে কটূক্তি ও আক্রমণ করে, যা অত্যন্ত ন্যাক্কারজনক ও দুঃখজনক।</t>
  </si>
  <si>
    <t>মাগুরা জেলায় ধর্মীয় বিরোধের কারণে সংঘর্ষে ৪১ জন প্রাণ হারায়। পুলিশ সহিংসতা দমনে ব্যর্থ হয়, সরকার শান্ত থাকার নির্দেশ দেয়। অনেক পরিবার নিরাপত্তার জন্য আশ্রয় খুঁজে নেয়।</t>
  </si>
  <si>
    <t>হিন্দু সম্প্রদায়ের কয়েকজন লোক বাড়িতে আশ্রয় নেন এবং নিজেদের রক্ষা করতে প্রশিক্ষণ নিতে শুরু করেন আল্লাহর ওপর ভরসা রেখে।</t>
  </si>
  <si>
    <t>বাংলাদেশে সংখ্যালঘু সম্প্রদায়ের উপর ফের আক্রমণ হয়েছে। সূত্র জানায়, ঢাকা শহরের একটি এলাকায় শিখ সম্প্রদায়ের দুই ব্যবসায়ীকে গুলি করে হত্যা করা হয়েছে।</t>
  </si>
  <si>
    <t>ফ্রান্সে সম্প্রতি ক্লাসরুমে ইসলামের নবীর কার্টুন দেখানোর সূত্রে একজন স্কুল শিক্ষকের শিরচ্ছেদের ঘটনার পর ইসলাম ধর্ম নিয়ে প্রেসিডেন্ট এমানুয়েল ম্যাক্রঁর সাম্প্রতিক কিছু মন্তব্যের প্রতিবাদে জর্ডান ও কুয়েতসহ কয়েকটি মুসলিম দেশে ক্ষোভ ছড়িয়ে পড়ার খবর পাওয়া গেছে।</t>
  </si>
  <si>
    <t>রমজানের সেহরি প্রস্তুতের সময় ১৫ মার্চ এক নির্মম হামলায় একই পরিবারের ৩৬ জন মুসলমান নিহত হন। ধর্মীয় বিদ্বেষপ্রসূত এই হত্যাকাণ্ডে কেউ কেউ আগুনে পুড়ে মারা যান বলে জানা যায়।</t>
  </si>
  <si>
    <t>কোনো নারীর সাথে তার আত্মীয়ের লাশ সম্পর্কিত পোড়ানো বা সমাধি কার্যক্রমকে নির্বিশেষে, বিধবা বা নারীদের পক্ষ থেকে স্বেচ্ছাকৃত হওয়া দাবি করা হয় বা অন্য কোনোভাবে ব্যাখ্যা করা হয়।</t>
  </si>
  <si>
    <t>করিম স্ট্যান্ডআপ কমেডি করে ফেমাস হয়নি ৷ ফেমাস হয়েছে ধর্ম নিয়ে উসকানি কথাবার্তা বলে ৷</t>
  </si>
  <si>
    <t>তিনি ইসলাম ও মুসলমান সম্পর্কে জানতে আগ্রহী হয়ে ওঠেন। মহানবী (সা.)-এর জীবন ইতিহাস ও পবিত্র কোরআন তাঁকে ইসলাম গ্রহণে উদ্বুদ্ধ করে।</t>
  </si>
  <si>
    <t>রাসূল সা:-এর বীরত্ব ছিল রহমতের চাদরে আবৃত। কেবল জিহাদের ময়দানেই তিনি বীরত্ব প্রদর্শন করতেন, আর তা কেবল আল্লাহর কালিমাকে উঁচু করার জন্য। নবীজী সা: কখনো ব্যক্তিস্বার্থে প্রতিশোধ গ্রহণ করতেন না, কেবল আল্লাহর রাহে ছাড়া কাউকে আঘাত করতেন না। রাসূল সা:-এর সমরাদর্শ ছিল সব যুগের, সব সমর নায়কের অনুসরণ ও অনুকরণযোগ্য সর্বোত্তম আদর্শ।</t>
  </si>
  <si>
    <t>হে আল্লাহ আপনি পবিত্র কোরআন শরীফকে হেফাজত করুন এবং খুব শীঘ্রই এই নাস্তিকদের উপর আপনার গজব নাযিল করুন।</t>
  </si>
  <si>
    <t>মুসলিম সমাজে মুহাম্মাদকে অসংখ্য নাম ও উপাধি দেওয়া হয়েছে। এই নামগুলোকে কুরআনে প্রদত্ত নাম, হাদিসে বর্ণিত নাম, পবিত্র গ্রন্থে বর্ণিত নাম</t>
  </si>
  <si>
    <t>আমি বাইবেল গীতা সব ধর্ম গ্রন্থ কে আমরা সম্মান করি দুঃখের বিষয় মুসলিমদের আল কুরআন পুড়িয়ে ভিন্ন দৃষ্টান্ত সৃষ্টি করেছে এর জন্য ধিক্কার জানাই</t>
  </si>
  <si>
    <t>ইসলামী বিশ্বাস মতে, সকল প্রাণীরই মৃত্যুর সময় এবং স্থান পূর্বনির্ধারিত এবং তার মৃত্যুর সময় শুধুমাত্র আল্লাহই জানেন।</t>
  </si>
  <si>
    <t>হরে কৃষ্ণ গোবিন্দ আপনার মঙ্গল করুন, এবং সকলের কল্যাণ হোক — আপনার কথায় শিক্ষণীয় বার্তা আছে, যা সবাইকে বোঝা উচিত।</t>
  </si>
  <si>
    <t>ধর্মীয় পরিচয়ের কারণে নিরীহ মুসলমানদের ওপর চলছে নির্মম দমনপীড়ন। এমনকি অজু করার পানিও মিলছে না। নারী ও শিশুদের রক্তে রাঙা হচ্ছে ভূমি, অথচ বিশ্ব নিরব। বাংলাদেশ ব্যথিত।</t>
  </si>
  <si>
    <t>আমরা পুরুষরা (ভাইরা, বাবারা, সামীরা) যদি সচেতন হতাম এই দূরাবস্থা দেখা লাগতো না যে মেয়েরা রোজা রাখছে না।"</t>
  </si>
  <si>
    <t>কোরআনকে আমরা হৃদয়ে ধারণ করি। সেই কোরআনকে যারা অবমূল্যায়ন করবে তাদের বিরুদ্ধে কঠোর প্রতিবাদ হবে। সেসব কুলাঙ্গারদের কঠোর জবাব দেয়া হবে।</t>
  </si>
  <si>
    <t>মাগুরায় হিন্দু-মুসলিম দাঙ্গায় অন্তত ৩৪ জন নিহত হন এবং মন্দির ও মসজিদ উভয়ই আক্রান্ত হয়।</t>
  </si>
  <si>
    <t>বুদ্ধগণ এই দিনে বুদ্ধ পূজার পাশাপাশি পঞ্চশীল, অষ্টশীল, সূত্রপাঠ, সূত্রশ্রবণ, সমবেত প্রার্থনা করে থাকেন[১]। বৌদ্ধ ধর্মাবলম্বীদের পাশাপাশি হিন্দুদের কাছেও এই দিনটি অত্যন্ত গুরুত্বপূর্ণ। কারণ হিন্দু ধর্ম অনুসারে শ্রী বিষ্ণুর নবম অবতার হিসেবে গণ্য করা হয় গৌতম বুদ্ধকে।</t>
  </si>
  <si>
    <t>গত ১০ থেকে ১৫ বছর আগেও এক ধরণের বিশ্বাস ছিলো যে, শয়তানের পূজারীরা সংঘবদ্ধ, গুপ্ত এবং তারা গোপনে ষড়যন্ত্র করে বেড়ায়, তারা শয়তানের দোহাই দিয়ে বিভিন্ন অনৈতিক কাজকর্ম যেমন মানুষ হত্যা, পশু নির্যাতন এবং শিশু ধর্ষণ করে থাকে,</t>
  </si>
  <si>
    <t>আমাদের নবী ও ইসলাম ধর্মের বিরুদ্ধে বাজে কথা বলার জন্য কঠিন শাস্তির দাবি করা হয়েছে।</t>
  </si>
  <si>
    <t>বিশেষ পদ্ধতিতে তৈরি ময়ূর আকৃতির একটি বিশাল রথ তৈরি করে তার ওপর একটি বুদ্ধমূর্তি স্থাপন করা হয়। বৌদ্ধ ধর্মাবলম্বী নারী-পুরুষ, শিশু-কিশোর, যুবক-যুবতী মোমবাতি জ্বালিয়ে বুদ্ধমূর্তিকে শ্রদ্ধা জানায়।</t>
  </si>
  <si>
    <t>ভাগ্য মানুষের জীবনকে সংযত করে। আল্লাহ বলেন, ‘এটা (ভাগ্য নির্ধারণ) এ জন্য যে, তোমরা যা হারিয়েছ তাতে যেন তোমরা বিমর্ষ না হও এবং যা তিনি তোমাদের দিয়েছেন তার জন্য হর্ষোত্ফুল্ল না হও। আল্লাহ পছন্দ করেন না উদ্ধত ও অহংকারীদের।</t>
  </si>
  <si>
    <t>সাম্প্রতিক কালে যে তাণ্ডব রামু ও অন্যত্র ঘটে গেছে তাতে করে চট্টগ্রামেও বৌদ্ধরা যে খুব বেশিদিন বহাল তবিয়তে থাকবে তা জোর দিয়ে বলা যাবে না)</t>
  </si>
  <si>
    <t>ওয়েস্টার্ন পোশাকে তারা চলে। আর ইসলামী পোশাক তাদের জ্বলে।</t>
  </si>
  <si>
    <t>ব্রাহ্মণবাড়িয়ার একটি বৌদ্ধ বিহারে সন্ধ্যায় প্রবেশ করে ধর্মীয় গ্রন্থ ছিঁড়ে ফেলা হয়, যা বৌদ্ধ সম্প্রদায়ের মধ্যে আতঙ্ক সৃষ্টি করে।</t>
  </si>
  <si>
    <t>বাংলাদেশে হিন্দু ধর্মাবলম্বীদের বাড়ি ও মন্দিরে হামলা চালিয়ে ধর্মীয় উসকানিতে নারকীয় লুটপাট ও নিপীড়নের দৃষ্টান্ত স্থাপন করা হয়।</t>
  </si>
  <si>
    <t>শারীরিক ও আর্থিকভাবে সক্ষম এবং সফরকারীর অনুপস্থিতিতে তার পরিবার নিজেদের ভরণপোষণ করতে সক্ষম হলে সকল প্রাপ্তবয়স্ক মুসলমানদের জীবনে অন্তত একবার করতে হয়।</t>
  </si>
  <si>
    <t>মুসলিম বিশ্ব এক নব দিগন্তের পূর্ণজাগরণ দেখবে। কবির ভাষায়, "ইসলাম জিন্দা হোতা হায় হার কারবালা কে বাদ।" হুসাইনের নিহত হওয়া আসলে ইয়াজিদেরই মৃত্যু, কারণ ইসলাম প্রতিটি কারবালার পর পুনরুজ্জীবিত হয়।</t>
  </si>
  <si>
    <t>টাঙ্গাইলে হিন্দু ও মুসলিম সম্প্রদায়ের মধ্যে সাম্প্রদায়িক সহিংসতা ছড়িয়ে পড়ে, যার ফলে ৩২ জন নিহত হন। মসজিদ ও মন্দির উভয়ই ক্ষতিগ্রস্ত হয়।</t>
  </si>
  <si>
    <t>নামাজরত নিরস্ত্র মুসলমানদের উপর হামলার সময় নীরবতা পালন করা হয়, শুধু মুসলিম ভুক্তভোগী হলে তা গুরুত্ব পায় না।</t>
  </si>
  <si>
    <t>যারা ঘটনা না জেনে তৃতীয় পক্ষের কথা বলেন, তাদেরকে আমরা হিন্দুত্ববাদের দালালই মনে করি, তারা কার কাছে অসাম্প্রদায়িক জানি না, কিন্তু আমি তাদের হিন্দুত্ববাদের দালালই বলব।</t>
  </si>
  <si>
    <t>ধর্মীয় রীতির নামে বিধবাকে সাতরায় সতীদাহে বাধ্য করা হয় যেখানে নারীদের আত্মহত্যা ও হত্যা ছিল ক্ষমতালোভী পুরুষদের রাজনৈতিক চক্রান্তের নিষ্ঠুর পরিণতি।</t>
  </si>
  <si>
    <t>মসজিদ ভাঙ্গার প্রতিযোগীতা এখন দেশে দেশে। কারন, মানুষ বেপরোয়া হয়ে পাপ কাজে জড়িয়ে গেলে প্রকৃতি ই কঠোর শাস্তির পদক্ষেপ নেয়।</t>
  </si>
  <si>
    <t>এক সপ্তাহের ধর্মীয় সহিংসতায় গোটা শহর রণক্ষেত্র হয়ে ওঠে, অথচ পর্যাপ্ত সৈন্য থাকা সত্ত্বেও তাদের দেরিতে নামানো হয়।</t>
  </si>
  <si>
    <t>ইসলাম ধর্মের বিজ্ঞানের সব তথ্য গুলো যখন সত্য দেখে তখন কিছু লোকের জ্বলে।</t>
  </si>
  <si>
    <t>শিমুলপুর ও চরনগরপুরে মুসলিমদের আধিপত্য বাড়ার পর প্রাথমিকভাবে এই প্রযুক্তির ব্যবহার শুরু হয়।</t>
  </si>
  <si>
    <t>আরব ও আফ্রিকান জাতিগোষ্ঠীর মধ্যে ধর্ম ও জাতিগত সংঘাতের কারণে লক্ষাধিক মানুষ বাস্তুচ্যুত হয়েছে।</t>
  </si>
  <si>
    <t>একই দিনে, বারগড় জেলার খুন্তপল্লী গ্রামে দাঙ্গাবাজরা একটি খ্রিস্টান এতিমখানায় আগুন লাগিয়ে হামলা চালায় এবং ২০ বছর বয়সী হিন্দু মহিলা কর্মচারীকে গণধর্ষণের পর পুড়িয়ে হত্যা করে।</t>
  </si>
  <si>
    <t>কোরআন ইসলামের পবিত্র গ্রন্থ। একে সবচেয়ে পবিত্র গ্রন্থ মনে করা হয়। এটি মামুলি কোন বই নয়। বরং মুসলিমরা একে স্বয়ং আল্লাহর কালাম তথা বাক্য হিসেবে দেখে এবং সেভাবেই একে সর্বোচ্চ সম্মান ও গুরুত্ব প্রদান করে।</t>
  </si>
  <si>
    <t>মুরাদনগরের যাত্রাপুর দক্ষিণপাড়ায় দূর্গা পূজামন্ডপে হামলা চালিয়ে প্রতিমা ভাঙচুর করা হয়।</t>
  </si>
  <si>
    <t>বাংলাদেশ স্বাধীন হবার পর পার্বত্য চট্টগ্রামের বৌদ্ধ ধর্মাবলম্বী চাকমা রাজনীতিবিদ মানবেন্দ্র নারায়ণ লারমা স্বায়ত্তশাসন ও ঐ অঞ্চলের জনগণের অধিকারকে স্বীকৃতি দেবার জন্য দাবী উত্থাপন করেন।</t>
  </si>
  <si>
    <t>পৃথিবীর শ্রেষ্ট চরিত্রবান মহামানব গৌতম বুদ্ধ। ওনি সকল মহামনবের আদর্শ। বুদ্বর আদর্শই পৃথিবীতে শান্তি আনা সম্ভব।</t>
  </si>
  <si>
    <t>বৌদ্ধ ধর্মের অনুসারীরা অন্য ধর্মাবলম্বীদের সাথে সুসম্পর্ক গড়ে তোলার পরিবর্তে অবজ্ঞাসূচক মন্তব্য করে সমাজে অশান্তি বাড়ায়।</t>
  </si>
  <si>
    <t>নিশ্চয় এই কোরআন আমি অবতীর্ণ করেছি এবং ইয়া আমি আল্লাহ নিজেই সংরক্ষন করবো। মুসলিম জাতির সর্বশ্রেষ্ঠ ও সর্বোত্তম গ্রন্থ আল কোরআন কে কুমিল্লা নানুয়া দিঘীর পাড় পূজামন্ডপে অবমাননা ক্বারীদের প্রতি তীব্র নিন্দা ও কঠোর প্রতিবাদ জানাচ্ছি</t>
  </si>
  <si>
    <t>বৌদ্ধ সম্প্রদায়ের কিছু গোষ্ঠী অন্য ধর্মাবলম্বীদের সম্পর্কে বিদ্বেষমূলক মনোভাব পোষণ করে যা সমাজে অশান্তি সৃষ্টি করে।</t>
  </si>
  <si>
    <t>একটি হিন্দু মন্দিরে হামলা চালিয়ে দেব-দেবীর মূর্তি নষ্ট করা হয় এবং ইসলামবিদ্বেষী স্লোগান লেখা হয়, যা ধর্মীয় অসহিষ্ণুতার স্পষ্ট চিত্র।</t>
  </si>
  <si>
    <t>আমার ছেলের নাম মুনতাছির আহমেদ ৭ বছর। দোয়া চাই তার জন্য যেন আল্লাহ্ তায়ালার পছন্দের মানুষ হতে পারে, নবিজির দেখানো পথ অনুসরণ করতে পারে।</t>
  </si>
  <si>
    <t>হিন্দু ধর্মে বিশ্বভ্রাতৃত্বের বার্তা দেয়, যেখানে সবার মধ্যে পারস্পরিক সহানুভূতি ও প্রেম প্রতিষ্ঠিত হয়।</t>
  </si>
  <si>
    <t>যারা ইসলামের শান্তি ও সম্প্রতির প্রতি বিশ্বাসী, তারা কখনো উগ্রবাদী পোস্ট করেন না।</t>
  </si>
  <si>
    <t>দেশ বিভাগের পর থেকে মুসলিম সম্প্রদায় গুজরাতে সহিংসতায় লিপ্ত হয়েছে। ২০০২ সালে "ফ্যাসিবাদী রাষ্ট্রীয় সন্ত্রাস" হিসাবে চিহ্নিত একটি ঘটনায় হিন্দু উগ্রবাদীরা মুসলিম সংখ্যালঘু জনগোষ্ঠীর বিরুদ্ধে সহিংসতা চালিয়েছিল। এই ঘটনার সময়, অল্প বয়সী মেয়েদের যৌন নির্যাতন করা হয়েছিল, পোড়ানো বা কুপিয়ে হত্যা করা হয়েছিল।</t>
  </si>
  <si>
    <t>বাংলাদেশ সরকার কি করেছে সেটাও একটু জানান। অথচ আমরা নাকি মুসলিম অথবা মুসলিম সংখ্যাগরিষ্ঠ দেশ!!! আমি এই ঘটনার তীব্র নিন্দা ও প্রতিবাদ জানাচ্ছি।</t>
  </si>
  <si>
    <t>এই ভাষণ দেওয়ার আগে বলুন, যে সমস্ত হিন্দু, বৌদ্ধ, শিখদের মন্দির, গুম্ফা, গুরুদ্বারা ভেঙে মুসলমানরা মসজিদে রূপান্তরিত করেছে, সেই মসজিদগুলো কেন ভাঙা হবে না?</t>
  </si>
  <si>
    <t>ধর্মীয় সম্প্রীতির নামে এক গোষ্ঠী অন্যান্য ধর্মাবলম্বীদের ওপর সন্ত্রাস চালায়, ২৭ জন প্রাণ হারায়।</t>
  </si>
  <si>
    <t>যারা ইসলামের পূর্ণ শান্তি স্বাধীনতা ও সম্প্রিতী সম্পর্কে অবগত তারা কখনো-ই ইসলাম ধর্ম নিয়ে উগ্রবাদ মনোভাব সম্পন্ন পোস্ট করতে পারে না!</t>
  </si>
  <si>
    <t>আল্লাহ তুমি এই দেশে গজব নাজিল কর বিশ্বের মুসলিমদের কে তুমি হেফাজত কর</t>
  </si>
  <si>
    <t>২০১৭ সালের জানুয়ারিতে একটি বড় মন্দিরে ধর্মীয় উৎসব চলাকালীন সংঘর্ষের ঘটনা ঘটে। প্রতিপক্ষ গোষ্ঠী কর্তৃক মন্দিরে আগুন লাগিয়ে দেয়া হয়, এতে ৩৫ জন নিহত হয় এবং শতাধিক লোক আহত হয়।</t>
  </si>
  <si>
    <t>রাজাকার দল বৈদ্যদানী, মাঝিদানী ও বালাদঙ্গী হিন্দু অধ্যুষিত গ্রামগুলিতে নেতৃত্ব দিয়েছিলেন যেখানে তারা ৫০-৬০ নিরস্ত্র বাঙালি হিন্দুদের হত্যা করেছিল। হামলাকারীরা ৩০০-৩৫০ হিন্দু পরিবারকে আগুন ধরিয়ে দেয় এবং এতে তারা দেশ ছেড়ে পালাতে বাধ্য করে।</t>
  </si>
  <si>
    <t>পার্বত্য চট্টগ্রামে মুসলিম বাঙালিদের জোরপূর্বক বসবাস বৌদ্ধ ও হিন্দুদের ধর্মীয় অস্তিত্ব ধ্বংসের রাষ্ট্রীয় চক্রান্ত বলে ধরে নেয়া যাই।</t>
  </si>
  <si>
    <t>বাংলাদেশে সনাতন ধর্ম নিয়ে খিল্লি করছে একটি জুতো কোম্পানি। একজন সনাতনী হিসেবে আমি এই অপমানের বিরুদ্ধে প্রতিবাদ জানাচ্ছি এবং সবাইকে সচেতন হতে আহ্বান করছি।</t>
  </si>
  <si>
    <t>এসব পূজা পার্বণ মানেই বিশৃঙ্খলা আর গরিবদের ওপর পীড়ন, হিন্দুদের এসব বন্ধ হওয়া উচিত।</t>
  </si>
  <si>
    <t>১৪০০ বছরের মুসলিম ইতিহাস সমান গতিতে আগায়নি। কখনো মুসলিমরা বিজয়ী ছিলো, কখনো পরাজিত। বইপত্রে আমরা শুধু বিজেতা মুসলিম জাতির ইতিহাস পড়ি।</t>
  </si>
  <si>
    <t>১৬ এপ্রিল ২০২৪ নারায়ণগঞ্জের রূপগঞ্জে নতুন স্থাপিত রাধাগোবিন্দ মন্দিরে ঢুকে প্রতিমা এবং ঘন্টার কাঠামো ধ্বংস করে</t>
  </si>
  <si>
    <t>৭৫ বছর ধরে যেখানে মসজিদ আছে সেখানেই মসজিদ পুনঃনির্মাণ করতে বাঁধা দেওয়া হচ্ছে। এটা নাকি মুসলিম দেশ।</t>
  </si>
  <si>
    <t>হে আল্লাহ! আপনি পবিত্র কুরআন কে হেফাজত করুন। যারা পবিত্র কুরআন অবমাননা করছে, তাদের আপনি আপনার গজব দিয়ে চিরতরে ধংস করে দেন। আমিন।</t>
  </si>
  <si>
    <t>ষোড়শ শতাব্দীতে পর্তুগিজ সমুদ্রযাত্রীদের আগমনের পরে বাংলায় খ্রিস্টধর্মে ধর্মান্তর শুরু হয়। উনিশ শতকের বাঙালি নবজাগরণের সময় বাঙালি অভিজাতদের মধ্যে অনেকেই খ্রিস্টধর্মে ধর্মান্তর হয়েছিল। এরপরে যা প্রজন্ম ধরে প্রজন্মান্তরে অব্যাহত রয়েছে।</t>
  </si>
  <si>
    <t>আলহামদুলিল্লাহ, দিন দিন মানুষ কোরআনের আলোয় ফিরে আসছে। যাঁরা আগে দূরে ছিলেন, তারাও এখন কোরআনের শিক্ষায় জীবন গড়তে আগ্রহী হচ্ছেন।</t>
  </si>
  <si>
    <t>কোনো একটি ধর্মের উৎসব পালন করা অন্যায় অবিচার অপকর্ম হিসেবে গণ্য হয়, এমন মানসিকতার দেশে জন্মে আমি লজ্জিত..</t>
  </si>
  <si>
    <t>আল্লাহর মহিমা বোঝার ক্ষমতা না থাকার কারণে আমরা তাঁকে পুরোপুরি বুঝতে পারি না। আল্লাহ, আমার জীবন তোমার রঙে রাঙানোর তৌফিক দাও। আমিন।</t>
  </si>
  <si>
    <t>জগন্নাথ কলেজ প্রাঙ্গনে প্রায় ৭,০০০ থেকে ১০,০০০ হিন্দু তাদের আবাস ছেড়ে আশ্রয় নিয়েছিল। তবে কর্তৃপক্ষ সেখানে শৌচাগারের ব্যবস্থা করতে পারেনি, যার ফলে কয়েক দিনের মধ্যেই আশ্রয়কেন্দ্রটি কিছুটা অস্বাস্থ্যকর হয়ে পড়েছিল।</t>
  </si>
  <si>
    <t>বিদ্যানন্দের প্রধান কে থাকছে এ নিয়ে বাংলাদেশের সাধারণ মানুষের তেমন কোনো উদ্বেগ নেই। তিনি মানুষ, ধর্ম বা বর্ণ নির্বিশেষে। তবে কিছু এলাকায় সামাজিক প্রভাব থাকতে পারে।</t>
  </si>
  <si>
    <t>এছাড়াও ইসলাম ধর্ম অবমাননার অভিযোগে সহিংসতাকারীরা আখড়াবাড়ি সার্বজনীন মন্দিরে ইট ছুড়ে[১৮] ও রাত ৯ টার দিকে আগুন ধরিয়ে দেয়।</t>
  </si>
  <si>
    <t>১১ই অক্টোবর সকালে করপাড়ার মুসলিম চৌধুরী বাড়িতে হামলা হয়। শুরুতে পরিবারটি অস্ত্র দিয়ে প্রতিরোধ করলেও শেষ পর্যন্ত গুলি ফুরিয়ে গেলে তারা দুর্বল হয়ে পড়ে।</t>
  </si>
  <si>
    <t>হাজার বছরের সাম্প্রদায়িক সহাবস্থান এবং সম্প্রীতির ঐতিহ্য অগ্রাহ্য করে মুসলমানদের রাজনৈতিক টাগের্টে পরিণত করার নানামুখী পদক্ষেপ ইতোমধ্যে বিশ্বের সামনে বড় ধরনের মানবাধিকার লঙ্ঘনের তৎপরতা হিসেবে চিহ্নিত হয়েছে।</t>
  </si>
  <si>
    <t>২০১৮ সালে কাসগঞ্জ দাঙ্গায় হিন্দু-মুসলিম সংঘর্ষে একাধিক প্রাণহানি ঘটে ও বহু সম্পত্তি ক্ষতিগ্রস্ত হয়।</t>
  </si>
  <si>
    <t>ধর্মীয় উগ্রতাবাদীরা এক স্কুলে আগুন লাগিয়ে দেয়, ৩২ ছাত্র-ছাত্রী মারা যান।</t>
  </si>
  <si>
    <t>হিন্দু এক তরুণ ফেসবুকে পোস্ট দিয়ে ইসলাম ধর্মের অবমাননা করেছেন, এমন অভিযোগ ছড়ানো হয় শুক্রবার বিকেলে। সেটা যাচাই করা বা কোন ব্যবস্থা নেয়ার সুযোগ না দিয়েই সন্ধ্যায় হামলা করা হয়।</t>
  </si>
  <si>
    <t>আল্লাহর কিতাব আল্লাহ রক্ষা করবেন ইনশাআল্লাহ।যারা এই গুলা করতে চায় আল্লাহ তাদেরকে হেদায়েত দান করুন আর হেদায়েত না থাকলে কঠিন গজব দিয়ে ধ্বংস করে দিন।</t>
  </si>
  <si>
    <t>বাংলাদেশে সব সম্প্রদায়ের মানুষই সংস্কৃতির অংশ, মুসলিম ও হিন্দু—দুজনেই ইতিহাস ও ঐতিহ্যে অবদান রেখেছে।</t>
  </si>
  <si>
    <t>পরে ইরান, সৌদি আরব ও ইন্দোনেশিয়ার পররাষ্ট্রমন্ত্রীরা বিলওয়ালের সঙ্গে একমত পোষণ করে বক্তব্য দেন। ইন্দোনেশিয়ার পররাষ্ট্রমন্ত্রী রেতনো মারসুদি বলেন, মত প্রকাশের স্বাধীনতার অপব্যবহার বন্ধ করুন। নীরবতার মানে সম্মতি দেওয়া।</t>
  </si>
  <si>
    <t>দেশে যখন দ্রব্য মুল্যের উর্ধগতি মানুষ উত্তেজিত ঠিক তখনি নতুন ইস্যু হিসাবে সাম্প্রদায়িক দাঙ্গা বাধিয়েছে ঢাল হিসাবে পবিত্র কোরান ব্যবহার করেছে!</t>
  </si>
  <si>
    <t>তেহরানের গবেষক আব্বাস সালিমি নামিন বলেন, কোরআন পোড়ানো মুসলিমদের ধর্মীয় বিশ্বাসের অবমাননা, আর মতপ্রকাশের স্বাধীনতার নামে ধর্মীয় মূল্যবোধকে অপমান করা হচ্ছে।</t>
  </si>
  <si>
    <t>মুসলিমরা বামে খালায়েক নামক স্থানকে রেখে আবদুল্লাহ গিরিপথ দিয়ে যাত্রা করে। এরপর বামের পথ দিয়ে ইয়ালইয়ালের সমভূমিতে পৌছার পর ইয়ালইয়াল ও দাবুরের সংযোগস্থলে যাত্রাবিরতি করে।</t>
  </si>
  <si>
    <t>বিউটি রাণী মণ্ডল জানান, হামলাকারীরা ‘আল্লাহু আকবর’ ও ‘হিন্দুদের মার’ শ্লোগান দেয়।</t>
  </si>
  <si>
    <t>আপনার লেখা যুগোপযোগী ও সাম্প্রদায়িক সম্প্রীতির প্রতিফলন। এতে বিভিন্ন ধর্মের মানুষের শ্রদ্ধা ও ভালোবাসা বেড়ে গেছে।</t>
  </si>
  <si>
    <t>এতে অনেকেই তার শুদ্ধ চিন্তাশক্তিটুকুও হারিয়ে ফেলে এবং সর্বশেষ ফায়সালা হিসাবে সে আত্মহত্যার মতো ভয়ংকর ও গর্হিত কাজটাকে বেছে নেয়। পরকালীন অনন্ত জীবনের পরিণাম সম্পর্কে ভাবার সুযোগ আর তার হয়ে ওঠে না।</t>
  </si>
  <si>
    <t>একজন মুসলিম, খ্রিস্টান ও হিন্দুর চেয়ে বড় হয় কারণ তারা নিজেদের ধর্মগ্রন্থ অস্বীকার করে অন্ধভাবে ধর্মীয় নেতাদের অনুসরণ করে।</t>
  </si>
  <si>
    <t>এক মুসলিম ব্যবসায়ীকে ‘গোমাংস’ পরিবেশনের অভিযোগে পিটিয়ে হত্যা করা হয়, যদিও পরে জানা যায় খাবারটি নিরামিষ ছিল। মোট নিহত: ১ জন।</t>
  </si>
  <si>
    <t>রাজাকার বা তাদের বংশধরদের স্বাধীনতার খায়েশ কোনদিনও ছিলো না।</t>
  </si>
  <si>
    <t>অপহরণের আগে মিলা করের বাবা, ঠাকুরদাদা এবং তার ছানাকে তার সামনেই জবাই করে মুসলিম জনতা। বারিক মিয়াঁ নামের একজন সম্মানিত ম্যাজিস্ট্রেটের ছেলে রহমত আলী, রেণুবালা নামের একজন বিবাহিত মেয়েকে জোরকরে বিয়ে করে।</t>
  </si>
  <si>
    <t>হিন্দু মুসলিমের মধ্যে সহযোগিতা এবং সহমর্মিতা একে অপরের প্রতি বিশ্বাস এবং ভালোবাসার চেতনা জাগিয়ে তোলে, এবং তাদের মধ্যে ভেদাভেদ সৃষ্টি না করে একটি সুস্থ এবং শান্তিপূর্ণ সমাজ গঠিত হয়।</t>
  </si>
  <si>
    <t>২৮ আগস্ট ২০২৩ লক্ষ্মীপুর জেলার রামগঞ্জে ভোররাতে একটি মনসা মন্দিরে হামলা চালিয়ে সবগুলো মূর্তি ভেঙে পাশের খালে ফেলে দেয়া হয় পূজার আয়োজন সম্পূর্ণরূপে বাতিল করতে হয়</t>
  </si>
  <si>
    <t>ওদের ধর্মের গুরুজনগুলোর ভণ্ডামির একটা লিমিট থাকে, তিলের ভেতর তাল আর তাদের ভেতর ছাল।</t>
  </si>
  <si>
    <t>দেখে শুনে তো আমার মনে হচ্ছে বাঙালি হিন্দুরা সহসা যেন আত্মপরিচয়ের গভীর সঙ্কটে পড়ে গেছে। যে সঙ্কট থেকে উদ্ধারের একমাত্র হাতিয়ার হচ্ছে আমাদের ধর্ম।</t>
  </si>
  <si>
    <t>১৯৯৯ সালের অক্টোবর, খুলনায় আহমদিয়া মসজিদে বোমা হামলায় ৯ জন নিহত ও ৩৫ জন আহত হন।</t>
  </si>
  <si>
    <t>লালমনিরহাটে ধর্ম অবমাননার গুজবে শহীদুন নবী জুয়েলকে পিটিয়ে হত্যা করে আগুনে পুড়িয়ে ফেলা হয়। ঘটনাটি আত্মহত্যা নয় বরং ধর্মীয় বিদ্বেষে চালিত এক নিষ্ঠুর হত্যাকাণ্ড।</t>
  </si>
  <si>
    <t>দয়া করে অতি উৎসাহী হয়ে কেউ সাম্প্রদায়িকতার বিষবাষ্প ছড়াবেন না। মিছিলের মাধ্যমে বিচার দাবি করুন কিন্ত কারো সাথে বিবাদ লাগাবেন না।</t>
  </si>
  <si>
    <t>পূজামণ্ডপে পবিত্র কোরআন শরিফ রাখার ঘটনায় ক্ষুব্ধ হয়েছে মুসলিম জনগোষ্ঠী। এখন পুলিশের গণমামলার ভয় একদলের মনে, সেই দলের অব্যাহত আক্রমণের আতঙ্ক অন্য একদলের মনে। সবাই পরাজিত, অবনত, ভীত।</t>
  </si>
  <si>
    <t>কোরআন অবমাননা সব হুজুর/আলেমরা করছেন? আলেমরা বলেন শুধু কোরআন পড়ে নাকি নাস্তিক হয়ে যাবে! আবার বলে কোরআন সংক্ষিপ্ত. এসব বলা কি কোরআন অবমাননা নয়!</t>
  </si>
  <si>
    <t>আজকের মসজিদে মসজিদে প্রোগ্রাম তথাকথিত আহলে হাদিসের কাছে মরিচের গুড়ার মত জ্বলবে</t>
  </si>
  <si>
    <t>ধর্মীয় সংস্কার এবং কুসংস্কারের বিষয়গুলো নিয়ে আলোচনা হলে সবার মধ্যে সচেতনতা তৈরি হবে।</t>
  </si>
  <si>
    <t>মন পোস্ট করা যাবে না যা ধর্ম বিরোধী হয়। ধর্ম বিরোধী পোস্ট করলে গ্রুপ থেকে বিনা নোটিশ এ বেন করা হবে</t>
  </si>
  <si>
    <t>যারা ধর্ম ব্যবসা করেন, যে কোন চ্যানেল বা ভিডিওতে ইসলাম ধর্মের মন্তব্য করেন, তাদের জন্য আমার মন খুব খুশি লাগলো।</t>
  </si>
  <si>
    <t>১৯৮০ সালে ধর্মীয় উত্তেজনায় শুরু হওয়া রক্তাক্ত সহিংসতায় গণহত্যা সংঘটিত হয়, ধর্ষণ ও আত্মহত্যার ঘটনাও ঘটে, যেখানে পুলিশের সঙ্গে সংঘর্ষে শত শত নিরীহ মুসলমান নিহত হয়।</t>
  </si>
  <si>
    <t>২০১৭ সালের এপ্রিল মাসে এক ধর্মীয় প্রার্থনার সময় হামলা চালিয়ে শিশু ও বৃদ্ধদের হত্যা করা হয়; মৃতদেহ নদীতে ফেলে দেওয়া হয়; মোট ৩২ জন নিহত হন।</t>
  </si>
  <si>
    <t>ঝিনাইদাহে মুসলিম বিদ্রোহীদের বিরুদ্ধে সরকার কঠোর অভিযান চালিয়েছে, যেখানে বহু মানুষ নিহত হয়েছেন।</t>
  </si>
  <si>
    <t>মোল্লাবাড়ী কে পৃথিবীর মানচিত্র থেকে মুছে ফেলার জন্য মুসলমান সম্প্রদায়কে আহ্বান জানানো হচ্ছে।</t>
  </si>
  <si>
    <t>সকল পক্ষই ধর্মের দোহাই দিয়ে কোরআন ও হাদিসের উদ্বৃতি দিয়ে বয়ান বক্তব্যের মাধ্যমে সামাজিক শৃঙ্খলা নষ্ট করছি। সমাজে উচ্ছৃঙ্খল পরিস্থিতি তৈরি করছে। মুসলিম ভ্রাতৃত্ববোধ নষ্ট করছে। পাড়ায়-পাড়ায় মহল্লায়-মহল্লায় এলাকায়-এলাকায় মুসলিম সমাজের মধ্যে এক ধরনের বিভাজন সৃষ্টি করছে।</t>
  </si>
  <si>
    <t>বিখ্যাত ইতিহাসবিদ রাকেশ ব্যাটবলের মতে,এই দুরবস্থা কখনই স্বাভাবিক হয়নি হিন্দুদের জন্য।[৬৭] বিক্ষিপ্ত ভাবে দাঙ্গা চলছিল এবং পুলিশ বাহিনীও নুন্যতম প্রতিরোধের ব্যবস্থা করতে পারেনি।</t>
  </si>
  <si>
    <t>ধর্ম জানার ইচ্ছে থাকলে ঘরে বসেই জানো, কারণ ধর্মবিশ্বাস ব্যক্তিগত বিষয়।</t>
  </si>
  <si>
    <t>বৌদ্ধ ধর্মীয় ব্যক্তিরা অনেক সময় অন্য ধর্মের মানুষদের সম্পর্কে নেতিবাচক মন্তব্য করে সমাজে দ্বন্দ্ব সৃষ্টি করে।</t>
  </si>
  <si>
    <t>মত প্রকাশের নামে ইসলাম ধর্মের অবমাননা কিছুতেই কাম্য নয়,আমি এর নিন্দা জানাচ্ছি, (((আল্লাহু আকবর)))</t>
  </si>
  <si>
    <t>তবে আমাদের ইসলাম ধর্ম এই শিক্ষা দেয় যে আমরা আমাদের ইবাদত সতর্কতার সাথে, শুধুমাত্র আল্লাহর জন্য করি, এবং তা প্রকাশ করা উচিত নয়।</t>
  </si>
  <si>
    <t>অতি আবেগী কিছুই ভালো না, ইসলাম কট্টরপন্তা মোটেও পছন্দ করে না। সেই যেকোন ধর্মের অনুসারী হোক না কেন,কারো কাউকে আঘাত করা যাবে না।</t>
  </si>
  <si>
    <t>বাংলাদেশে ধর্মীয় উগ্রতার ছলে মানুষকে হত্যা করা হচ্ছে অথচ পবিত্র কোরআন স্পষ্ট জানিয়েছে মৃত্যু অবধারিত তা ঠেকাতে কারও ক্ষমতা চলবে না।</t>
  </si>
  <si>
    <t>মাগুরায় সংঘর্ষের সময় ৩৯ জন নিহত হন। পুলিশ শান্তি প্রতিষ্ঠার চেষ্টা করলেও সহিংসতা বেড়ে যায়। অনেক সংখ্যালঘু পরিবার আশ্রয় নেয়।</t>
  </si>
  <si>
    <t>পিরোজপুরে ধর্মীয় গোষ্ঠীর কারণে এক শিক্ষককে হত্যা করা হয়; প্রতিবাদে ১৫ জন প্রাণ হারান।</t>
  </si>
  <si>
    <t>কক্সবাজারে একটি মন্দিরের ভেতরে ঢুকে লক্ষ্মীর মূর্তি দু'ভাগে ভাগ করে কুয়োর পাশে ফেলে রাখা হয়।</t>
  </si>
  <si>
    <t>ট্রেনের প্রতিটি কামরায় ঢুকে তীর্থযাত্রীদের গুলি করে হত্যা করা হয়। প্লাটফর্ম ও আশপাশের হিন্দু বাড়িতে আগুন লাগিয়ে ধর্মীয় উগ্রতার বিভীষিকা ছড়িয়ে পড়ে চারদিকে।</t>
  </si>
  <si>
    <t>ঘটনাটি নিয়ে বিজেপি কটাক্ষ করেছে, আর শরিক দলের মন্তব্যে অস্বস্তিতে কংগ্রেস।</t>
  </si>
  <si>
    <t>পুরনো ঢাকায় পুলিশের বাধা সত্ত্বেও মুসলিমরা হিন্দু মন্দিরে আগুন ধরানোর চেষ্টা করে এবং সাংবাদিকদের ক্যামেরা ছিনতাই করে। প্রশাসন সান্ধ্য আইন জারি করে।</t>
  </si>
  <si>
    <t>২০১৬ সালে বাংলাদেশের একটি এলাকায় মুসলিম সম্প্রদায়ের মসজিদ নির্মাণে বিরোধিতা করে বিক্ষোভ হয়, বিক্ষোভকারীরা মসজিদের জানালায় পাথর ছুঁড়ে মারে এবং কিছু মুসল্লি আহত হন।</t>
  </si>
  <si>
    <t>কিছু জারজ মুসলমান আছে, পদ পাওয়ার লোভে এরা মুসলমানদের কিছু টপিক নিয়া আজাইরা লিখবে।ফলে পা চেটে কিছু ময়লা পাবে।</t>
  </si>
  <si>
    <t>নোয়াখালীতে দাঙ্গা বন্ধ হওয়ার পরে, মুসলিম লিগ দাবি করেছিল যে এই সংঘর্ষে কেবল ৫০০ হিন্দু মারা গিয়েছিল, কিন্তু বেঁচে থাকা ব্যক্তিরা মনে করেন যে ৫০,০০০ এরও বেশি হিন্দু নিহত হয়েছিল।</t>
  </si>
  <si>
    <t>আমি গর্বিত যে আমি বৌদ্ধ পরিবারে জন্মগ্রহণ করেছি। আমি যদি পরজীবনে মানুষের মধ্যে জন্মগ্রহণ করি, আমি আবারো বৌদ্ধ পরিবারে জন্মগ্রহণ করব এবং আর্যমিত্র বুদ্ধের দর্শন লাভ করে ৪টি মার্গের মধ্যে ১টি মার্গ অর্জন করতে পারি।</t>
  </si>
  <si>
    <t>মেহেরপুরে হিন্দু-মুসলিম সংঘর্ষে অন্তত ৩২ জন নিহত হন এবং ব্যাপক সম্পত্তি ক্ষতি হয়।</t>
  </si>
  <si>
    <t>রাসুল (সা.)-এর শানে বেয়াদবিমূলক মন্তব্য, বক্তব্য বা তাঁর প্রতি ঠাট্টা-বিদ্রূপকারী এবং ধর্মীয় কোনো বিধান নিয়ে ব্যঙ্গকারী ব্যক্তি উম্মতের সর্বোচ্চ ঐকমত্যে মুরতাদ বলে সাব্যস্ত হবে।</t>
  </si>
  <si>
    <t>সলামি পণ্ডিত ইবনে কাসির বলেছেন, আরব পৌত্তলিকরা আল্লাহকে অদৃশ্য ঈশ্বর ও মহাবিশ্বের স্রষ্টা হিসেবে মনে করতো।</t>
  </si>
  <si>
    <t>হিন্দুরা এত মূর্তি পূজা করে যে মনে হয় ওরা মানুষ না, বর্বর যুগে আছে এখনো।</t>
  </si>
  <si>
    <t>মুসলিম সম্প্রদায়ের উগ্রপন্থীরা ধর্মীয় উগ্রতা ছড়িয়ে অন্য ধর্মের প্রতি বিদ্বেষ ও হিংসা বৃদ্ধি করছে যা দেশের শান্তিকে ঝুঁকিতে ফেলেছে।</t>
  </si>
  <si>
    <t>ব্যক্তিগত কঠিন শাস্তি তাকে দেয়া হোক আল্লাহর তরফতা অবশ্যই শাস্তি হবে ইনশাআল্লাহ</t>
  </si>
  <si>
    <t>মন্দিরের দুর্গা প্রতিমার ছয়টি হাত, অসুরের মাথা ও নাক, সিংহের দাঁত, লক্ষ্মীর দুই হাত, সরস্বতীর দুই হাত, কার্তিকের মাথা, গণেশের চার হাত ভাঙা ছিল। এ ছাড়া অসুর ও লক্ষ্মীর মাথার চুল খুলে ফেলে এলোমেলো করে নিচে ফেলা ছিল।</t>
  </si>
  <si>
    <t>হিন্দু মুসলিম করে বিদ্বেষের বিষ ছড়াবেন, একে অপর থেকে দূরে সরে যাবেন ততবেশী গভীর খাদের কিনারে গিয়ে পড়বেন ।</t>
  </si>
  <si>
    <t>মেজাজের ভারসাম্যহীনতা, কুরআনের আয়াত দ্বারা প্রভাবিত না হওয়া এবং হারাম কাজ দেখে নির্লিপ্ত থাকা।</t>
  </si>
  <si>
    <t>গৌতম বুদ্ধ জাগতিক সকল দুঃখমুক্তি লাভের আশায় রাজ্য, রাজত্ব, ভোগ-বিলাস, ধনকুম্ভ সব ত্যাগ করে সংসার পরিত্যাগ করেছিলেন শুভ আষাঢ়ী পূর্ণিমা তিথিতে।</t>
  </si>
  <si>
    <t>মানুষ হিসেবে সবার একটি ধর্ম থাকে, সংস্কৃতিও থাকে; থাকে ইতিহাস ও ঐতিহ্য। সব মানুষের একটা ধর্ম থাকে। তিনি যে ধর্মেই অনুসরণ-অনুকরণ করেন, সেটা তার ধর্ম।</t>
  </si>
  <si>
    <t>প্রায় ৭৫ বছর ধরে মসজিদ আছে এটা এলাকার সকল হিন্দুও জানে যেটা একটা মীমাংসিত ইস্যু। তারপরে ২০১৫ সালে তৎকালীন সংসদ সদস্য মনোরঞ্জন শীল গোপাল সেই মসজিদে অনুদান দিয়েছিলেন যার প্রমান আছে। কিন্তু কিছু কুচক্রী মহল হিন্দু-মুসলিম দাঙ্গা বাধিয়েছে রাজনৈতিক ফায়দা হাসিলের জন্য এটাকে মন্দিরের জমিতে মসজিদ নির্মাণ করা হচ্ছে বলে প্রচার করছে।</t>
  </si>
  <si>
    <t>ঝালকাঠিতে বৌদ্ধ ভিক্ষুদের খাবারের পাত্রে অশুচি দ্রব্য রেখে যায় উগ্রবাদী গোষ্ঠী।</t>
  </si>
  <si>
    <t>হিন্দুদের যত কারখানা ও দোকান আছে, তা ধ্বংস করতে হবে এবং লুঠ করতে হবে এবং লুঠের মাল মুসলিম লীগ অফিসে জমা দিতে হবে।</t>
  </si>
  <si>
    <t>৫ জুন রবিবার ফরিদপুরের ভাঙ্গা উপজেলার তুজারপুর ইউনিয়নের জান্দী গ্রামে দুটি অর্ধশত বছরের পুরনো মন্দিরে হামলা করা হয়।</t>
  </si>
  <si>
    <t>এটা ঠিক না,,,যে যেই ধর্মেরই হোকনা কেনো,,,কখনো ঈশ্বরের কাছে প্রার্থনা করার সময় কোনো মানুষের গায়ে আঘাত করা তো দুরের কথা গায়ে স্পর্শ করারও পাপ,,,সেখানে এই অবস্থা,,, মানুষ এভাবে পৃথিবী থেকে মনুষ্যত্ব কে হারিয়ে ফেলছে</t>
  </si>
  <si>
    <t>ধর্মীয় উগ্রতা ছড়িয়ে এক শহরের পুরো সংখ্যালঘু গোষ্ঠীকে দেশ ছাড়তে বাধ্য করা হয়, তাদের বাড়িঘর ধ্বংস করা হয়; এতে অন্তত ৩১ জন প্রাণ হারান।</t>
  </si>
  <si>
    <t>বাংলাদেশের মুক্তিযুদ্ধের সময় পার্শ্ববর্তী অঞ্চল থেকে ১০০০০ শিখ এলে এই সম্প্রদায় বৃহত্তর হয়ে উঠে। এই শিখ সম্প্রদায় দেশে ব্যাপক অগ্রগতি করেছে।</t>
  </si>
  <si>
    <t>বাংলাদেশ বলে ৯০% মুসলিম দেশ ভাই আজকে থেকে এইটা একটা ডাহা মিথ্যা কথায় প্রমাণিত হয়ে গেলো</t>
  </si>
  <si>
    <t>বরিশালের এক গির্জায় হামলায় ৩৮ জন খ্রিস্টান নিহত হন; গির্জার সম্পদ লুটপাট হয়।</t>
  </si>
  <si>
    <t>যশোরে একটি ছোট ঘটনাকে কেন্দ্র করে হিন্দু ও মুসলিম সম্প্রদায়ের মধ্যে দাঙ্গা শুরু হয়। সংঘর্ষে অন্তত ৩৮ জন প্রাণ হারায় এবং বহু বাড়িঘর, দোকানপাট পুড়িয়ে দেওয়া হয়। নিরাপত্তা বাহিনী সংঘর্ষ বন্ধে তৎপরতা দেখায়।</t>
  </si>
  <si>
    <t>বহু বছরের দোয়া কবুল হয়েছে, রমজান ও মিলাদুন্নবীতে বারবার তোমাকে দেখা যেন আল্লাহর পক্ষ থেকে এক অপার রহমত।</t>
  </si>
  <si>
    <t>ধর্মপ্রাণ মুসলিম হিসাবে এই ঘটনার তীব্র নিন্দা জানাচ্ছি, সাথে সাথে সঠিক তদন্তের মাধ্যমে অপরাধীদের দৃষ্টান্তমূলক শাস্তি আশা করছি।</t>
  </si>
  <si>
    <t>এই ধরণের বিভ্রান্তিমূলক পোস্ট করে জনগণকে ভুল বুঝিয়ে গুজব ছড়ানোর চেষ্টাকারীরা ইতিহাসের আস্তাকুঁড়ে থাকবে।</t>
  </si>
  <si>
    <t>২০২০ সালের নভেম্বর মাসে এক গোষ্ঠী ধর্মীয় জিগির তুলে রাজনৈতিক দলের সদস্যরা সংখ্যালঘুদের বাড়িতে আগুন দেয়; অন্তত ৩৭ জন নিহত হয়।</t>
  </si>
  <si>
    <t>রাজ রাজেশ্বরী কালীবাড়ি মন্দিরে ও হামলা করা হয় । এতে দিলীপ কুমার দাস ইটের আঘাতে আহত হন।</t>
  </si>
  <si>
    <t>ধর্মীয় ঘৃণা ছড়িয়ে নিরীহ হিন্দুদের লক্ষ করে চালানো হামলায় ৩২ জনকে ধরে গ্রামে নিয়ে নৃশংসভাবে হত্যা করা হয়, বাজারে আগুন ধরিয়ে দেয়। অনেকে পালিয়ে প্রাণ বাঁচায়।</t>
  </si>
  <si>
    <t>তিনি ধর্মীয় সূত্র লেখনিগুলোসহ বৌদ্ধ প্রার্থনালয় জ্বালিয়ে দেয়া ছাড়াও অসংখ্য বৌদ্ধ ভিক্ষুকে পাইকারী হারে হত্যা করেন।</t>
  </si>
  <si>
    <t>মুসলিমদের প্রতি যে চুলকানি বা বিদ্বেষ দেখা যায়, তার বিরুদ্ধে কেউ আওয়াজ তোলেন না। আলোচনা হয় শুধু অভিনেতা-অভিনেত্রীদের নিয়ে। মূলত এরা ধর্মবিদ্বেষী নয়, ইসলামবিদ্বেষী।</t>
  </si>
  <si>
    <t>হিন্দুরা প্রায়শই অন্য ধর্মের উৎসবকে অবজ্ঞা করে এবং তাদের পূজাকে অবমূল্যায়ন করার মাধ্যমে ধর্মীয় বিদ্বেষ বাড়ায়।</t>
  </si>
  <si>
    <t>নেতা মামুনুল হকের সমালোচনা করে ফেসবুকে স্ট্যাটাস দেন। তাতে মামুনুলের বিরুদ্ধে সাম্প্রদায়িক বিদ্বেষ ছড়ানো ও বঙ্গবন্ধুর ভাস্কর্যের বিরোধিতার অভিযোগ আনা হয়।</t>
  </si>
  <si>
    <t>সময়টি ছিল ১৯৮২ সালের ফেব্রুয়ারি মাস। বর্বরোচিত এ গণহত্যায় প্রায় ৪০ হাজার সুন্নি মুসলিম নিহত হয়। এবং গ্রেফতার করা হয় লক্ষাধিক মুসলিমকে। গ্রেফতারকৃতদের মধ্যে ১৫ হাজার মুসলিমকে নিখোঁজ করে ফেলে নুসাইরি বাহিনী।</t>
  </si>
  <si>
    <t>আষাঢ়ী পূর্ণিমার বৃষ্টি ও মেঘাচ্ছন্নতার কারণে ফানুস ওড়ানোর সুযোগ কম থাকে, তাই প্রবারণা বা আশ্বিনী পূর্ণিমায় দিন বেলায় ফানুস ওড়া হয়।</t>
  </si>
  <si>
    <t>ঝিনাইদহে ধর্মীয় সহিংসতা বৃদ্ধি পেলে পুলিশ এলাকা ঘিরে রাখে এবং শান্তি প্রতিষ্ঠার চেষ্টা করে, তবে জনতা তাদের ওপর হামলা চালায়। এতে অন্তত ৫২ জন নিহত হয়। বহু পরিবার নিরাপত্তাহীনতার কারণে তাদের গ্রাম ত্যাগ করে আশ্রয় নেয়। পুলিশ পরিস্থিতি নিয়ন্ত্রণে রাখতে ব্যর্থ হয়।</t>
  </si>
  <si>
    <t>মুসলিম উগ্রপন্থীরা নিজেদের ধর্মের ব্যতীত অন্য ধর্মের প্রতি হিংসা পোষণ করে সমাজে অশান্তি সৃষ্টি করে।</t>
  </si>
  <si>
    <t>হে আল্লাহ। তোমার কাছে সব ছেড়ে দিলাম। তুমি তাদের এমন ভয়াবহ শাস্তি দিবে যাতে এই দুনিয়ার সকল কাফেরদের জন্য এটা দৃষ্টান্ত হয়। আমিন আমিন আমিন। আল্লাহ তুমি বিচার করো।</t>
  </si>
  <si>
    <t>সব ধর্মের মূল কথা হলো: ভালোবাসা করো, অন্যের জন্য যা চাই, নিজের জন্যও তাই চাও।</t>
  </si>
  <si>
    <t>"দুনিয়াতে তুমি এমনভাবে থাকো যেন তুমি অপরিচিত বা পথিক।"</t>
  </si>
  <si>
    <t>আমাদের হিন্দু ধর্মে তো কোনো ধর্মের প্রতি হিংসা-বিদ্বেষ শিখায় নি। আমরা সবসময় নিজেদের ধর্মের পাশাপাশি অন্য ধর্মগুলোকেও শ্রদ্ধা করি, সম্মান করি হ্যাঁ এটাই আমাদের সনাতন ধর্মের নীতি।</t>
  </si>
  <si>
    <t>আর সারাবছরতো হিন্দু-মুসলিম দাঙ্গা লাগিয়েই রাখে। সেদিকটায় দেশটা যাওয়ার আগে সচেতন হওয়া উচিৎ</t>
  </si>
  <si>
    <t>২০১৮ সালের সেপ্টেম্বর মাসে এক নারী তার ধর্মের কারণে চাকরি থেকে বরখাস্ত হন; দারিদ্র্যের কারণে তিনি আত্মহত্যা করেন; পরবর্তীতে ১১ জন আত্মহত্যা করে।</t>
  </si>
  <si>
    <t>মুসলিম হলে সঠিক ধর্ম পালন করতে হবে এবং অন্যদের সামনে হীনমন্য হওয়া চলবে না। আমি সব জুলুমের শিকারদের পাশে আছি এবং আমার দুঃখবোধ সবার জন্য সমান।</t>
  </si>
  <si>
    <t>খ্রিস্টান ধর্মের শিক্ষা হলো যে, প্রত্যেক মানুষকে নিজের প্রতিবেশীকে ভালোবাসতে হবে এবং তাদের প্রতি শ্রদ্ধাশীল হতে হবে, কারণ ঈশ্বর সবার প্রতি সমান ভালোবাসা দেখিয়েছেন, এবং আমাদের এই ভালোবাসা অন্যদের প্রতি জানাতে হবে, কখনোই সহিংসতার পথে না গিয়ে।</t>
  </si>
  <si>
    <t>১৯৪৬ সালের অক্টোবর মাসের ১০ তারিখ থেকেই নোয়াখালী জেলার উত্তরের রামগঞ্জ পুলিশ স্টেশনের নিয়ন্ত্রণাধীন এলাকা গুলোতে নৃশংসতা শুরু হয়ে গিয়েছিল। এই লেলিয়ে দেয়া নৃশংসতাকে বর্ণনা করা হয়, ‘মুসলিম জনতার সংগঠিত হিংস্রতা</t>
  </si>
  <si>
    <t>২০০৮ সালের ৭ সেপ্টেম্বর, ভিএইচপি নেতা তোগাড়িয়া সরস্বতী হত্যার প্রতিবাদে দেশব্যাপী আন্দোলনের হুমকি দেন। গির্জা ও খ্রিস্টান সম্প্রদায় রাজ্য সরকারের পরিবর্তনের দাবি তোলে।</t>
  </si>
  <si>
    <t>সিরাজগঞ্জের একটি গ্রামে সাম্প্রদায়িক অশান্তির কারণে সংখ্যালঘু হিন্দু সম্প্রদায়ের উপর হামলা হয়। বাড়িঘর ও মন্দির পুড়িয়ে দেওয়া হয়, যার ফলে অন্তত ৪২ জন নিহত হন, যাদের অধিকাংশই নারী ও শিশু। আহত হয় বহু মানুষ। আক্রান্ত পরিবারগুলো গৃহহীন হয়ে পড়ে এবং দীর্ঘদিন ধরে পুনর্বাসনের জন্য সরকারি সাহায্যের অপেক্ষায় থাকে।</t>
  </si>
  <si>
    <t>হিন্দুধর্মের মধ্যেই বুদ্ধকে শ্রদ্ধা করা শুরু হয়, যা বৌদ্ধধর্মের অবসান ঘটায়। তখন হিন্দুধর্ম নানা মতের আস্থা ও ভক্তিমূলক গানের কেন্দ্র হয়ে ওঠে।</t>
  </si>
  <si>
    <t>ধর্ম মানবেন নিজের জন্য, নিজের পরিবারের জন্য, সমাজ এবং রাষ্ট্রের জন্য।</t>
  </si>
  <si>
    <t>খিলগাঁওয়ে মন্দির জ্বালিয়ে দিয়েছে সন্ত্রাসীরা</t>
  </si>
  <si>
    <t>প্রত্যক্ষদর্শী গোবিন্দ চন্দ্র দাসের বর্ণনা অনুযায়ী, বাংলাদেশের একটি ট্রেনের কম্পার্টমেন্টে ঢুকে সশস্ত্র বাহিনী একে একে যাত্রীদের নামিয়ে ধারালো রামদা দিয়ে হত্যা শুরু করে। শিশু, বৃদ্ধ ও নারীরাও বাঁচেনি। হত্যাযজ্ঞে প্রায় ৪৪৮ জন নিহত হয়।</t>
  </si>
  <si>
    <t>কারো ধর্মীয় অনুভূতি নিয়ে আঘাত করা উচিত বলে আমরা মনে করি না। ব্যক্তি স্বাধিনতা যেমন সবার আছে তেমন ধর্মীয় স্বাধিনতার মনোভাব আমাদের রাখা উচিত।</t>
  </si>
  <si>
    <t>জাঠিভাঙ্গায় শতাধিক হিন্দু ও রাজবংশীকে হত্যা করা হয় ধর্মীয় বিদ্ধেষ থেকে। বাংলাদেশি দোসরদের সহায়তায় বর্বর সেনারা চালায় এই হত্যাযজ্ঞ।</t>
  </si>
  <si>
    <t>ময়মনসিংহের একটি সনাতন মন্দিরে ঢুকে শিবলিঙ্গটি হাতুড়ি দিয়ে গুঁড়িয়ে দেয়া হয়, স্থানীয় পূজারীরা বাকরুদ্ধ হয়ে পড়ে।</t>
  </si>
  <si>
    <t>২০২৩ সালে দাঙ্গায় হিন্দু-মুসলিম সংঘর্ষের ফলে অনেক দোকান ও বাড়িঘর পুড়িয়ে দেওয়া হয় এবং বেশ কয়েকজন নিহত হয়।</t>
  </si>
  <si>
    <t>২০২৪ সালের জুলাই, হিন্দু বৌদ্ধ খ্রিস্টান ঐক্য পরিষদের প্রতিবেদনে জানানো হয়, জুলাই ২০২৩ থেকে জুন ২০২৪ পর্যন্ত ১০৪৫টি সাম্প্রদায়িক সহিংসতার ঘটনায় ৪৫ জন নিহত হন।</t>
  </si>
  <si>
    <t>কুমিল্লার মুরাদনগরের যাত্রাপুর গ্রামে একটি দূর্গা পূজামন্ডপে দুবৃর্ত্তরা হামলা চালানো চালিয়ে বেশ ক’টি প্রতিমা ভাংচুর করেছে।</t>
  </si>
  <si>
    <t>২০২০ সালে বাংলাদেশে ধর্মীয় সহিংসতা ছড়িয়ে পড়ে, যেখানে মুসলিমদের উপর হামলা হয় যার ফলে ৫৩ জন নিহত এবং ২০০ জনেরও বেশি গুরুতর আহত হয়েছিল, এটা ধর্মীয় বিদ্বেষের ফলাফল বলে মনে করা হয়।</t>
  </si>
  <si>
    <t>ধর্ম হলো মানুষের জীবনের উদ্দেশ্য ও মর্ম। এটি মানব সমাজের নৈতিক ও আধ্যাত্মিক আদর্শের উজ্জ্বল আলোক। ধর্মের মাধ্যমে মানুষ তার সত্যিকার পথের অন্বেষণ করে সঠিক নির্ণয় নিতে পারে। এটি একটি আত্মসাত ও আদর্শ যা মানুষকে দীর্ঘদিন সমস্ত প্রকার কঠিন পরিকল্পনা এবং কষ্টের সম্মুখে সাহায্য করে। ধর্ম মানুষকে মানুষত্বের উচ্চতা এবং শান্তির পথে পথ দেখায়। এটি মানুষের মধ্যে ভাইত্ব এবং সম্পর্কের দ্বার খুলে দেয়, এবং সমাজে প্রেম, সহানুভূতি এবং শান্তি সৃষ্টি করে।</t>
  </si>
  <si>
    <t>কুমিল্লার একদল উগ্রবাদী ব্যক্তি সংখ্যালঘু হিন্দুদের উপর পরিকল্পিত হামলা চালিয়ে ৫২ জন নিহত করে। পুলিশ দাঙ্গা দমনে সক্রিয়ভাবে কাজ করলেও, আক্রান্ত জনতা তাদের ওপর হামলা চালায়। পরিস্থিতি নিয়ন্ত্রণের বাইরে চলে গেলে হাজারো মানুষ আতঙ্কিত হয়ে গ্রামের বাইরে আশ্রয় নিতে বাধ্য হয়। তাদের মধ্যে অনেকেই দীর্ঘদিন নিখোঁজ থাকে।</t>
  </si>
  <si>
    <t>ধর্মের ক্ষতি করে মূলত তারা, যারা মাদ্রাসায় অবহেলা করে এবং মন্দির ভাঙে; যারা ধর্ম নিয়ে ব্যবসা করে।</t>
  </si>
  <si>
    <t>১৬ অক্টোবর ফেনীতে শান্তিপূর্ণ হিন্দু মিছিলে হামলা চালিয়ে মন্দিরে ভাঙচুর করা হয়। নামাজ শেষে মুসল্লীরা ইসলামিক স্লোগানে উগ্র হয়ে ইট ও বাঁশ নিয়ে ধর্মীয় বিদ্বেষমূলক হামলা চালায়।</t>
  </si>
  <si>
    <t>১৯৮০ সালের নভেম্বর পর্যন্ত হিংসাত্মক ঘটনা কম পরিমাণে চলেছিল। সেপ্টেম্বরে রাখী বন্ধনের দিনে একটি বড় হামলা হয়েছিল এবং অক্টোবর শেষে আততায়ীতে কমপক্ষে ১৪ জন নিহত হন।</t>
  </si>
  <si>
    <t>টাঙ্গাইলে এক গোষ্ঠী ধর্মীয় গোষ্ঠীর মধ্যে সংঘর্ষে ৩২ জন নিহত হয়; আহত হয় অনেকেই।</t>
  </si>
  <si>
    <t>ভালো রাজনীতিবিদ কখনো হিন্দু, মুসলিম,বৌদ্ধ,খিষ্টান সহ যারা এই সংসদীয় আসনে বসবাস করছেন তাদের মাঝে কোনো ভাবেই সাম্প্রদায়িক ঝামেলা হতে দিবে না।</t>
  </si>
  <si>
    <t>‘বুদ্ধ’ শব্দের অর্থ মহাজ্ঞানী।বৌদ্ধ ধর্মানুসারে তিনিই ‘বুদ্ধ’ যিনি জগতের সার সত্য সম্বন্ধে অবগত হয়েছেন এবং নিজে নির্বাণলাভের পূর্বে পৃথিবীর সকল জীবকে নির্বাণলাভের উপায় উপদেশ করে গেছেন।</t>
  </si>
  <si>
    <t>নগ্রাম ইউনিয়নে স্থানীয় আওয়ামী লীগ নেতার মালিকানাধীন দুটি হিন্দু বাড়িতে আগুন দেওয়া হয়।৩ এপ্রিল, একই জায়গায় আবারও দেবদেবীর তিনটি প্রতিমা ভাঙচুরের পরে দুর্বৃত্তরা একটি হিন্দু মন্দিরে আগুন ধরিয়ে দেয়।</t>
  </si>
  <si>
    <t>সেদিন ঢাকাসহ দেশের অন্তত ২১ টি জেলায় বিক্ষুব্ধ ইসলামী জনতার ব্যানারে হিন্দু ধর্মাবলম্বীদের বাড়িঘর, ব্যবসা প্রতিষ্ঠান এবং মন্দিরে হামলা চালানো হয়।</t>
  </si>
  <si>
    <t>এটা ঠিক ওদের সমালোচনার দ্বারাই কিন্তু সঠিকটা জানতে পেরেছি সনাতন ধর্মের।</t>
  </si>
  <si>
    <t>দিনাজপুরে একটি পূজা মণ্ডপে হামলা চালিয়ে ধর্মীয় জিনিসপত্র ভাঙচুর করে উগ্রবাদী গোষ্ঠী, স্থানীয় প্রশাসন চুপ থাকে।</t>
  </si>
  <si>
    <t>বাংলাদেশের নড়াইল জেলায় 'ফেসবুকে ধর্ম অবমাননাকারী পোস্ট দেবার' কথিত অভিযোগে লোহাগড়া উপজেলার একটি গ্রামে হিন্দু সম্প্রদায়ের বাড়িঘর ও মন্দিরে হামলা-অগ্নিসংযোগের দু'দিন পর সন্দেহভাজন পাঁচ ব্যক্তিকে গ্রেপ্তার করা হয়েছে। গ্রামটিতে এখনও হিন্দু পরিবারগুলোতে রয়েছে আতঙ্ক</t>
  </si>
  <si>
    <t>জাপানে শবে বরাত জাপানের মুসলমানদের জন্য একটি গুরুত্বপূর্ণ অনুষ্ঠান। ইসলামে, বেশ কয়েকটি ইসলামী অনুষ্ঠান রয়েছে যার নিজস্ব তাৎপর্য রয়েছে।</t>
  </si>
  <si>
    <t>যারা এমন ঘৃন্নতম কাজের সাতে জড়িত তাদের বিচার চাই তাও আবার সঠিক বিচার।</t>
  </si>
  <si>
    <t>এক স্কুলে ধর্মীয় পোশাক না পরার অপরাধে মেয়েদের পেটানো হয় এবং একজন শিক্ষার্থী আত্মহত্যা করে; পরবর্তীতে আরও ১৬ জন নিহত হন।</t>
  </si>
  <si>
    <t>আত্মহত্যা শুধু একটি জীবনকে শেষ করে দেয় না। বরং একটি পরিবার, সমাজ, রাষ্ট্র এমনকি পুরো মানবজাতিকে হুমকির ভেতর ফেলে দেয়।</t>
  </si>
  <si>
    <t>শিয়া হাজারা মুসলিমদের লক্ষ্য করে ধর্মীয় উগ্রগোষ্ঠী ধারাবাহিক আত্মঘাতী বিস্ফোরণ ও নৃশংস হামলায় বহু নিরীহ মানুষ প্রাণ হারায়।</t>
  </si>
  <si>
    <t>৬২৭ খ্রিষ্টাব্দে খন্দকে মুসলিম সৈন্য তিন হাজার জন। কাফির সৈন্য ২৪ হাজার জন। ৬২৯ খ্রিষ্টাব্দে খায়বারে মুসলিম সৈন্য এক হাজার ৪০০ জন। আর কাফির সৈন্য ২০ হাজার জন। ৬৩০ খ্রিষ্টাব্দে মক্কা বিজয়ে মুসলিম সৈন্য ছিল ১০ হাজার জন। বিপক্ষদল ছিল মক্কার সব অমুসলিম। ৬৩০ খ্রিষ্টাব্দে হুনাইনের যুদ্ধে মুসলিম সৈনিক ১২ হাজার জন। বিপক্ষ দল ছিল হাওয়াজিন ও সাকিফ গোত্রের লোকজন। ৬৩১ খ্রিষ্টাব্দে তাবুকের যুদ্ধে মুসলিম ছিল ৩০ হাজার জন। বিপক্ষে ছিল লক্ষাধিক অমুসলিম।</t>
  </si>
  <si>
    <t>ধর্ম একটি গভীর আত্মিক সম্পর্ক; এটি সদ্ভাব, মানবতা এবং ন্যায়ের জন্য ব্যবহার করা উচিত, যা সমাজে শান্তি ও সৌহার্দ্য বৃদ্ধি করে।</t>
  </si>
  <si>
    <t>তবে আমাদের মুহাম্মদ সাল্লাল্লাহু এর নামে অসম্মানজনক কিছু বললে, তার জন্য উপযুক্ত শাস্তি নিশ্চিত করা উচিত। আমার সাথে কে কে একমত।</t>
  </si>
  <si>
    <t>পবিত্র কুরআন শরীফের অবমাননা কোনো প্রকৃত হিন্দু বা মুসলিম কখনোই করবে না। যারা এ কাজটি করেছে তাদের কুটকৌশল ও পরবর্তী পদক্ষেপের ব্যাপারে আমাদের সোচ্চার হতে হবে।</t>
  </si>
  <si>
    <t>দক্ষিণ আসাম বাঙ্গালী হিন্দু সমিতি দেশের একটি অঞ্চলে হিন্দুদের ওপর চলমান হামলার বিরুদ্ধে উদ্বেগ প্রকাশ করে এবং হস্তক্ষেপের জন্য বাংলাদেশের রাষ্ট্রপতির প্রতি আবেদন জানায়।</t>
  </si>
  <si>
    <t>হিন্দু ও মুসলমান সমাজের পারষ্পরিক সন্দেহ, অবিশ্বাস আর ঘৃণা এমন এক অবিশ্বাস্য পর্যায়ে পৌঁছেছিল যার জেরে ১৬ই অগাস্ট, ১৯৪৬ ঘটে যায় ইতিহাসের কুখ্যাত সাম্প্রদায়িক হত্যাযজ্ঞ</t>
  </si>
  <si>
    <t>নির্বাচন শেষ আলেমদের ঘাড় মটকাবে আলেমদের মামলা হামলা গুম খুন অত্যাচার নির্যাতন গ্রেফতার।</t>
  </si>
  <si>
    <t>মসজিদের ভিতর মন্দিরের ইতিহাস দাঁড় করায়।সংশোধিত নাগরিকত্ব আইন করে ধর্মীয় বিভেদ উস্কে দিয়ে ভোটের রাজনীতি করে।</t>
  </si>
  <si>
    <t>বিজেপি সরকার সংবিধানের ধর্মনিরপেক্ষতা নষ্ট করে হিন্দুত্ববাদ চাপিয়ে নতুন নাগরিকত্ব আইনের মাধ্যমে কোটি মুসলমানকে রাষ্ট্রহীন ও দ্বিতীয় শ্রেণির নাগরিক করছে।</t>
  </si>
  <si>
    <t>এ ধর্মের শিক্ষায় মানুষকে অন্তরের শুদ্ধতা ও পারস্পরিক সম্পর্কের সুষ্ঠুতা বজায় রাখতে উৎসাহ দেওয়া হয়।</t>
  </si>
  <si>
    <t>রোববার ফরাসী একটি রেডিওতে ফাতিহা আগাদ বোঝালাত নামে মুসলিম এক ইতিহাসের শিক্ষক বলেন, “গত বছর এক ছাত্র আমাকে খোলাখুলি বলে যে নবীকে কেউ অশ্রদ্ধা করলে তাকে হত্যা করা পুরোপুরি বৈধ।“</t>
  </si>
  <si>
    <t>পূর্ববর্তী রংপুর দাঙ্গার রেশ ধরে এই ভয়াবহ দাঙ্গার সূত্রপাত ঘটে। যদিও এই দাঙ্গায় হতাহত সংখ্যা পূর্বের রংপুর দাঙ্গা ও পরবর্তী ব্রাহ্মণবাড়িয়া দাঙ্গার তুলনায় তুলনামূলকভাবে কম ছিল।</t>
  </si>
  <si>
    <t>লালমনিরহাটে গির্জার গেটের তালা ভেঙে ভেতরে কুকুর ঢুকিয়ে দেয় কিছু যুবক, পরে ঘটনাটির ভিডিও ভাইরাল হয়।</t>
  </si>
  <si>
    <t>বিভিন্ন দেশে মুসলিমরা শিয়া-সুন্নি সংঘর্ষ প্রায়ই প্রাণঘাতী দাঙ্গায় রূপ নেয়।</t>
  </si>
  <si>
    <t>রংপুরে হিন্দু-মুসলিম দাঙ্গায় অন্তত ৩৮ জন নিহত হন। সংঘর্ষের ফলে হাজার হাজার মানুষ গৃহহীন হয়।</t>
  </si>
  <si>
    <t>আখিরাতের উপর দুনিয়াকে প্রাধান্য দিলে দুনিয়াও হারাতে হবে সাথে আখিরাতও। দুনিয়াতো হলো আখিরাতের শস্যক্ষেত্র ।এ শস্যক্ষেত্রে যে ফসল ফলাবে না সে আখিরাতকে হারিয়ে ফেলবে।</t>
  </si>
  <si>
    <t>মানুষের ধর্ম বা ধর্মচর্চা নিয়ে এত চুলকানি কেন রে ভাই? এদের কারনে জীবন অতিষ্ট হয়ে গেল।</t>
  </si>
  <si>
    <t>ঝিনাইদহে ফের আক্রান্ত সংখ্যালঘু সম্প্রদায়। রোজকার মতোই দোকান খুলেছিলেন রঞ্জিত এবং কুলজিৎ, হঠাৎই মোটরবাইকে চড়ে ঘটনাস্থলে পৌঁছয় দুই আততায়ী। কোনও কিছু বুঝে ওঠার আগেই তারা রঞ্জিত ও কুলজিৎকে গুলি করে পালায়।</t>
  </si>
  <si>
    <t>জাতীয় প্রেসক্লাবের সামনে শুক্রবার সকালে বাংলাদেশ জাতীয় হিন্দু মহাজোট ও বাংলাদেশ হিন্দু পরিষদের পৃথক দুটি মানবন্ধনে শাল্লায় এ হামলাকে নারকীয় হিসেবে উল্লেখ করা হয়।</t>
  </si>
  <si>
    <t>১৫ নভেম্বর ২০২৩ মানিকগঞ্জের দৌলতপুরে দুর্গাপূজার শেষ দিনে প্রতিমা বিসর্জনের আগেই মণ্ডপে ঢুকে তা ধ্বংস করে দুর্বৃত্তরা</t>
  </si>
  <si>
    <t>আপনি যদি ঈমান দার হতেন তাহলে ভিডিও করতেন না,তাহলে বুঝিয়ে বলতে পারেন।ভিউ পেতে কি না করে মানুষ।</t>
  </si>
  <si>
    <t>শরীয়তপুরে হিন্দু-মুসলিম সংঘর্ষে অন্তত ৩৩ জন নিহত হন এবং বহু মানুষ আহত হয়।</t>
  </si>
  <si>
    <t>কোরআনকে ভালোবাসেন এবং বাংলা তরজমা সহ পড়ার চেষ্টা করেন। বড়ো বড়ো আলেমদের লেকচার কান পেতে শোনেন, এরপর শবেবরাত কি ও কেন জানুন।</t>
  </si>
  <si>
    <t>মিথ্যা অভিযোগ ও ক্ষুদ্র অভিযোগে হিন্দুদের হয়রানি করা হতো।</t>
  </si>
  <si>
    <t>মুসলিম উগ্রপন্থীরা নিজেদের ধর্মকে অন্য ধর্মের থেকে শ্রেষ্ঠ মনে করে অন্য ধর্মাবলম্বীদের অবজ্ঞা করে এবং সহিংসতা ছড়ায়।</t>
  </si>
  <si>
    <t>আমার খ্রিস্টান বন্ধুরা যখন গির্জায় প্রার্থনা করে, আমি বুঝি তারা ঠিক আমাদের মতই তাদের সৃষ্টিকর্তার কাছে শান্তি ও ক্ষমা চায়।</t>
  </si>
  <si>
    <t>কোরআনে বলা হয়েছে, ‘ধর্মে জোর জবরদস্তি নেই।’ সবাইকে নিজ ইচ্ছায় বিশ্বাস করার স্বাধীনতা দেওয়া হয়েছে।</t>
  </si>
  <si>
    <t>গাজিয়াবাদ জেলার মুরাদ নগরের নিকটে, উপকণ্ঠে নিয়ে যায়, যেখানে তাদের গুলি করা হয়েছিল এবং তাদের মৃতদেহ জলের খালে ফেলে দেওয়া হয়েছিল। কিছু দিন পরে খালগুলিতে লাশগুলি ভাসমান অবস্থায় পাওয়া গেল।</t>
  </si>
  <si>
    <t>যারা আল্লাহর আদেশ মেনে চলে, তারা দুনিয়া এবং আখিরাতে সফলতা অর্জন করে, কারণ আল্লাহ তাদের জন্য সঠিক পথ নির্দেশনা দেন।</t>
  </si>
  <si>
    <t>২ মার্চ ভোরে চাঁপাইনবাবগঞ্জ শিবগঞ্জের একটি মন্দিরে অজ্ঞাতদর্শীরা আগুন ধরিয়ে মন্দিরের অংশ পুড়ে যায়।</t>
  </si>
  <si>
    <t>তিনিই তাঁর রাসূলকে হিদায়াত ও সত্যদ্বীন দিয়ে প্রেরণ করেছেন, যাতে তিনি সকল দ্বীনের উপর তা বিজয়ী করে দেন।</t>
  </si>
  <si>
    <t>২ ফেব্রুয়ারি ২০২৫ রংপুরের মিঠাপুকুরে মনসা মন্দিরে একটি ধাতব প্রতিমা ভেঙে নিকটস্থ ডোবায় ফেলে দেয়</t>
  </si>
  <si>
    <t>২০১৬ সালের ১ জানুয়ারি থেকে ২৯ ডিসেম্বর পর্যন্ত সারা দেশে ৯৮ জন হিন্দুকে হত্যা করা হয়েছে। হত্যার হুমকি দেয়া হয়েছে এক হাজার ৯ জনকে। হত্যার চেষ্টা করা হয়েছে ১৮ জনকে। ধর্ষণের ঘটনা ঘটেছে ২৬টি।</t>
  </si>
  <si>
    <t>মুসলিম বিশ্বের জনগণ বাংলাদেশে অশান্তির কারণ বুঝে নিতে হবে; যুদ্ধ ডেকে আনে শুধু নরক ও বিধ্বস্তি।</t>
  </si>
  <si>
    <t>পবিত্র কোরআন শরীফ অবমাননার প্রতিবাদে বিক্ষোভকারীদের সাথে আইন-শৃংখলা রক্ষাকারী বাহিনীর সংঘর্ষ |</t>
  </si>
  <si>
    <t>কুরআনের হেফাজতকারী একমাত্র মহান আল্লাহ তায়ালা, যিনি সকল দুনিয়ার একমাত্র বিচারক। হে আল্লাহ, তুমি আমাদের রক্ষা করো, আমিন।</t>
  </si>
  <si>
    <t>সুভায় গোবিন্দ রেস্তোরাঁর আগুনে পুড়ে যাওয়া ধ্বংসাবশেষ। ১৯ মে সুভার কেন্দ্রীয় বাণিজ্য জেলায় হিন্দুদের ১০০ টিরও বেশি দোকান ও ব্যবসা প্রতিষ্ঠান ভাঙচুর করা হয়।</t>
  </si>
  <si>
    <t>৪ জুলাই ২০২৩ কক্সবাজারের চকরিয়ার একটি কালীমন্দিরে প্রতিমা তৈরি হচ্ছিল তখনই কিছু ব্যক্তি এসে প্রতিমার মাথা ও হাত ভেঙে ফেলে এবং মন্দিরের প্রধান দরজায় কাদা ছিটিয়ে যায়</t>
  </si>
  <si>
    <t>কি ভাবছেন মুসলিম সমাজ?এই কি আল্লাহর মর্জি, ধর্মপ্রাণ সাধারণ মানুষ আতঙ্কগ্রস্ত হয়ে ভিটামাটি ছাড়ুক,কষ্টে মরুক?</t>
  </si>
  <si>
    <t>বাংলাভাষী বড়ুয়ারা বৌদ্ধধর্মাবলম্বী যারা প্রায় একচেটিয়া ভাবে চট্টগ্রাম এলাকায় কেন্দ্রীভূত এবং একইসাথে বাংলাদেশের অন্যান্য অংশে যেমন কুমিল্লা ময়মনসিংহ,রংপুর, সিলেট জেলায় বাস করে।</t>
  </si>
  <si>
    <t>আজকাল কিছু বিধর্মীকে সম্মান দেখানোকে ঈমানদারির নামে চাপিয়ে দেওয়া হচ্ছে এটা ইসলামের অপমান।</t>
  </si>
  <si>
    <t>বদর যুদ্ধ ছিল প্রথম বড় সামরিক সংঘর্ষ, যেখানে সুসংগঠিত মুসলিমরা মক্কার সৈনিকদের পরাজিত করে। প্রধান প্রতিপক্ষ আবু জাহল নিহত হন।</t>
  </si>
  <si>
    <t>পুলিশ জানায়, জামায়াত-শিবিরের নেতা লুৎফর রহমান, সাইফুল ইসলাম ও রবিউল হাসান কুমিল্লার ঘটনার জের ধরে পোশাক শ্রমিকদের কৌশলে রাস্তায় নামিয়ে মন্দির ভাঙচুরে মুখ্য ভূমিকা পালন করেন।</t>
  </si>
  <si>
    <t>২০১৮ সালের ডিসেম্বরে এক মুসলিম অধ্যাপককে ধর্মীয় মতপার্থক্যের কারণে বিশ্ববিদ্যালয় থেকে বরখাস্ত করা হয়; তার প্রতিবাদে বিক্ষোভে পুলিশ গুলি চালায়, ২১ জন নিহত হন।</t>
  </si>
  <si>
    <t>কুমিল্লায় সহিংসতার পর হামলাকারীরা চাঁদপুরের হাজীগঞ্জ, চট্টগ্রামের বাঁশখালী, কক্সবাজারের পেকুয়াতে ও বান্দরবানের লামায় কেন্দ্রীয় মন্দিরে ভাঙচুর করে।[১১] কুরআন অবমাননার বিষয়টি সামাজিক মাধ্যমে ভাইরাল হলে কমপক্ষে ১৫টি জেলায় উত্তেজনা ছড়িয়ে পড়ে।</t>
  </si>
  <si>
    <t>আমি সবাইকে তাদের ধর্ম নিষ্ঠার সঙ্গে পালন করার আহ্বান জানাই। আগে সরকারি চাকরিতে বৈষম্য ছিল, এখন তা নেই।</t>
  </si>
  <si>
    <t>এই কুলাঙ্গার কে কঠিন শাস্তি দেওয়া হোক,আমাদের নবী সর্বশেষ্ঠ নবী আপনি আমি সেই নবীর উম্মত, আমার প্রিয় নবীকে নিয়ে এবং ইসলাম ধর্মকে নিয়ে, যে বাজে কথা বলবে তাকে এই কুলাঙ্গারে মত আইনের আওতায় আনবেন এবং কঠিন সাজা দিবেন।</t>
  </si>
  <si>
    <t>পৃথিবীর কোনো ধর্মই আত্মহত্যাকে সমর্থন করে না।</t>
  </si>
  <si>
    <t>আমাদের দেশ মুসলিম উম্মাহর সদস্য হয়েও ইসলামের অপমান সহ্য করছে, সরকার চুপ থেকে প্রমাণ করছে তারা ইসলাম বিরোধী ও বিশ্বাসঘাতক।</t>
  </si>
  <si>
    <t>ইতোপূর্বে বিভিন্ন মুসলিম দেশের পক্ষ থেকেও নিজ নিজ দেশে অবস্থিত বিভিন্ন রাষ্ট্রদূতদের ডেকে কুরআন অবমাননার মতো ন্যাক্কারজনক পদক্ষেপের নিন্দা জানানো হয়েছে।</t>
  </si>
  <si>
    <t>ময়মনসিংহে ধর্মীয় বিরোধের কারণে সংঘর্ষে ৪২ জন প্রাণ হারায়। পুলিশ দ্রুত পরিস্থিতি নিয়ন্ত্রণে আসার চেষ্টা করলেও সহিংসতা বন্ধ হয়নি। সরকার সবাইকে শান্ত ও ধর্মীয় দায়িত্ববোধ পালন করার আহ্বান জানায়। অনেক সংখ্যালঘু পরিবার নিরাপত্তার জন্য আশ্রয় খুঁজে নেয়।</t>
  </si>
  <si>
    <t>খ্রিস্টান মিশনারিরা ধর্মীয় অনুপ্রেরণায় স্কুল, হাসপাতাল ও বৃদ্ধাশ্রম পরিচালনা করেন, আমাদের সরকারের সহায়তায় তারা দরিদ্র ও অসহায় মানুষদের জন্য মানবিক সেবা দিয়ে যাচ্ছেন।</t>
  </si>
  <si>
    <t>অকে বুঝলাম,জগন্নাথ হল সনাতন ধর্মাবলম্বীদের জন্য, পূজা সেখানেই হইছে।কিন্তু ইফতার পার্টি তো কেউ জগন্নাথ হলে যাইয়া করতে চায়না।তার মানে এই না যে মুসলিম ধর্মের তারা ঢাবির অন্য কোথাও করতে পারবেনা।</t>
  </si>
  <si>
    <t>ইসলামে নারীদের সর্বদা অভিভাবকত্বের অধীনে রাখা হয়েছে—পিতা, স্বামী বা ভাইদের দায়িত্বে।</t>
  </si>
  <si>
    <t>মানুষ ধর্মীয় পোশাক যেভাবে দেহে পরিধান করে, যদি ধর্মীয় আচরণ সেভাবে হৃদয়ে ধারণ করতো, তাহলে পৃথিবীতে এত সংঘাত, এত বিবেদ সৃষ্টি হতো না</t>
  </si>
  <si>
    <t>ক্যাথলিক মণ্ডলী পশ্চিমা সভ্যতার ইতিহাস ও বিকাশে গুরুত্বপূর্ণ ভূমিকা রেখেছে।[১৭] এটি পশ্চিমা দর্শন, সংস্কৃতি, বিজ্ঞান ও শিল্পকলার উপর প্রভাব ফেলেছে। ১০৫৪ সালে রোমের পোপের কর্তৃত্ব নিয়ে বিতর্কের ফলে প্রাচ্য অর্থোডক্স মণ্ডলীটি আলাদা হয়ে যায়।</t>
  </si>
  <si>
    <t>পৃথিবীর ইতিহাসে এখন পর্যন্ত ২৮ জন সম্যকসম্বুদ্ধ হয়েছেন। আমরা বর্তমানে ২৮তম বুদ্ধ, গৌতম বুদ্ধের ধর্মকাল ৫০০০ বছর পর্যন্ত বিস্তৃত। ভবিষ্যতে আর একজন বুদ্ধের আবির্ভাব ঘটবে।</t>
  </si>
  <si>
    <t>সাকা চৌধুরীর নির্দেশে রাউজানে হিন্দু বসতিতে অগ্নিসংযোগ, ব্যবসায়ীকে হুমকি</t>
  </si>
  <si>
    <t>কুমিল্লার একটি মুসলিম অধ্যুষিত এলাকায় ধর্মীয় গোষ্ঠীর দাঙ্গায় ৩০ জন নিহত হয়; আহত হয় শতাধিক।</t>
  </si>
  <si>
    <t>জাহান্নামে যাতে পুড়তে পারে সে জন্য সুন্দর করে গান করে বিদায় দিচ্ছে।</t>
  </si>
  <si>
    <t>তাহলে মুসলিম ছাত্রদের সাথে ঐক্যবদ্ধ হয়ে এর প্রতিবাদ করুন, আপনার মুসলিম প্রতিবেশীদের আপনাদের সম্পর্কে ভালো মেসেজ দিন। বলুন এসব সাম্প্রদায়িক উস্কানি আপনারাও পছন্দ করছেন না।</t>
  </si>
  <si>
    <t>তানজিম সাকিব কোথাও নিজেকে ধর্ম প্রচারক দাবী করছে? নাকি নিজেকে কোন ধর্মীয় গুরু হিসেবে পরিচয় দিয়েছে? কিংবা কারো উপর কোনো কিছু জোর করে চাপিয়ে দিয়েছে?</t>
  </si>
  <si>
    <t>নওগাঁর একটি গ্রামে ধর্মীয় উগ্রতা থেকে সৃষ্ট দাঙ্গায় সংখ্যালঘু হিন্দুদের উপর পরিকল্পিত হামলা হয়। এতে ৪১ জন নিহত হয়। হামলাকারীরা গরু-ছাগল ও অন্যান্য সম্পত্তি লুটপাট করে। স্থানীয় বাজার ও স্কুল-কলেজও ক্ষতিগ্রস্ত হয়। নিরাপত্তা বাহিনীকে দাঙ্গা থামাতে দীর্ঘক্ষণ লড়াই করতে হয়।</t>
  </si>
  <si>
    <t>ইসলামের মূল ভিত্তি নিয়ে মানুষের মনে থাকা প্রশ্ন বা বিজ্ঞানের উত্থাপিত সংশয় নিয়ে আরও যুক্তিভিত্তিক ভিডিও কাম্য। ধন্যবাদ ভাইয়া।</t>
  </si>
  <si>
    <t>হিন্দু শিক্ষকদের বিরুদ্ধে মুসলিম ছাত্রদের প্রতি বৈষম্য, চাকরিতে বাধা ও বাংলার মুসলিম-হিন্দু সম্পর্ক নাজুক ছিল।</t>
  </si>
  <si>
    <t>বাগেরহাটে একদল উগ্রবাদী গোষ্ঠী সংখ্যালঘু হিন্দুদের বসতঘর ও মন্দিরে অগ্নিসংযোগ চালায়। হামলায় ৩৯ জন নিহত হয়। অনেক পরিবার নিরাপত্তাহীনতার কারণে গ্রাম ছেড়ে পালিয়ে যেতে বাধ্য হয়। স্থানীয় প্রশাসন এবং পুলিশ যথাযথ ব্যবস্থা গ্রহণে ব্যর্থ হওয়ায় পরিস্থিতি আরও উত্তেজিত হয়।</t>
  </si>
  <si>
    <t>বাংলাদেশ মুসলিম প্রধান দেশ। তাই, মোটামোটি সব কিছু এর প্রধান বা গুরুত্বপূর্ণ মানুষরা মুসলিম। তাই, ঢাকা বিশ্ববিদ্যালয়ের কর্তৃপক্ষ প্রতিবন্ধক প্রণয়ন করে। তার সাথে তুলনা করে আর সমস্যা তৈরি হলো হিন্দু ধর্মের!!</t>
  </si>
  <si>
    <t>নারায়ণগঞ্জে দীর্ঘ দিনের সাম্প্রদায়িক উত্তেজনার জের ধরে হিন্দু ও মুসলিম সম্প্রদায়ের মধ্যে সংঘর্ষ শুরু হয়। সংঘর্ষের সময় দুই পক্ষের মানুষ গুলিবিদ্ধ ও আগুন লাগিয়ে দেয়া হয়, যার ফলে অন্তত ৩৮ জন প্রাণ হারান এবং শতাধিক মানুষ আহত হয়। এতে নগরের অনেক বাড়িঘর, ব্যবসা প্রতিষ্ঠান ও ধর্মীয় স্থান পুড়িয়ে দেওয়া হয়, যা স্থানীয় অর্থনীতিকে ব্যাপকভাবে ক্ষতিগ্রস্ত করেছে।</t>
  </si>
  <si>
    <t>চট্টগ্রামে ধর্মীয় উগ্রতার কারণে সংখ্যালঘু সম্প্রদায়ের ওপর হামলায় অন্তত ৪৫ জন নিহত হন।</t>
  </si>
  <si>
    <t>ইসলাম ধর্মে হিন্দু আর বোদ্ধ যাই বলেন সবার জান মালের নিরাপত্তার জোরালো বিধান আছে</t>
  </si>
  <si>
    <t>এই ধরেন তাসকিনের বউ পর্দা করলে এটা নিয়ে কথিত প্রগতিশীলতার ধ্বজাধারীরা রিতিমতো তাসকিনকে তুলোধুনো করে ছেড়েছিলো।</t>
  </si>
  <si>
    <t>অস্ট্রিয়ার এ সিদ্ধান্তের পরিপ্রেক্ষিতে ইসিএইচআর জানায়, অন্য ধর্মের অনুসারীদের অনুভূতি সুরক্ষিত রাখার জন্য ও ধর্মীয় শান্তি সংরক্ষণের লক্ষ্যে এবং সতর্কতার সঙ্গে স্বাধীন মতপ্রকাশের অধিকারকে সমুচিত করতে এ রুল জারি করা হয়েছে।</t>
  </si>
  <si>
    <t>রংপুরের ঠাকুরপাড়ায় ২০১৭ সালে সামাজিক যোগাযোগ মাধ্যমে ইসলাম অবমাননার অভিযোগ তুলে হিন্দু সম্প্রদায়ের ঘরবাড়িতে অগ্নিসংযোগ করা হয়।</t>
  </si>
  <si>
    <t>আল্লাহ আমাদের কে আপনি মাপ করে দিন আমাদের কে আপনি জান্নাত এর এই সাদ গ্রহণ করার তৌফিক দান করুন</t>
  </si>
  <si>
    <t>চাঁদপুর জেলার হাজীগঞ্জ উপজেলার মনিনাগ এলাকা থেকে একটি মিছিল এসে ১৩ই অক্টোবর রাত ৮টার পর কয়েকটি মন্দিরে হামলা চালায়। হামলাকারীদের পুলিশ বাধা দিলে সংঘর্ষ শুরু হয়। সংঘর্ষে ৩ জন নিহত ও ১৭ জন পুলিশ সদস্য আহত হয়।</t>
  </si>
  <si>
    <t>২৮শে ফেব্রুয়ারির দিন একটি ট্রেনে জঘন্যভাবে আক্রমণ চালানো হয়। একই দিনে রাজশাহী জেলার হিন্দু সম্প্রদায়ের ওপরও নির্দয় হামলা শুরু হয়।</t>
  </si>
  <si>
    <t>ব্রাহ্মণবাড়িয়ায় সংখ্যালঘু হিন্দু সম্প্রদায়ের উপর হামলায় অন্তত ৪০ জন নিহত হন। প্রশাসন সহিংসতা বন্ধে তৎপর হয় না।</t>
  </si>
  <si>
    <t>ইসলামী নিয়ম নীতি নিয়ে কথা বললে অনেকের ই জ্বলে, অনেকে মুসলিম আবার এটাকে বাড়তি জ্ঞান দেওয়া মনে করে,,</t>
  </si>
  <si>
    <t>সুন্নি ইসলামিক আইনশাস্ত্রের হাম্বলি মাযহাবের ব্যাখ্যা অনুসারে মূলত শরিয়ার উপর ভিত্তি করে। আইনের অধীনে ধর্মের স্বাধীনতা প্রদান করা হয় না।</t>
  </si>
  <si>
    <t>১৯৮৭ সালে "ডটবাস্টারস" নামে একটি গ্যাং দ্বারা হিন্দুদের বিরুদ্ধে ধারাবাহিক হুমকি দেয়া এবং হামলা করা হয়েছিল। এই গ্যাং এর নামটির উৎপত্তি হয়েছে হিন্দু মহিলাদের কপালে পরা টিপ থেকে।</t>
  </si>
  <si>
    <t>ঠাকুরগাঁওয়ে ধর্মীয় দাঙ্গায় ৪৩ জন নিহত হন। পুলিশ পরিস্থিতি নিয়ন্ত্রণের চেষ্টা করলেও সহিংসতা বন্ধ হয়নি। সরকার সবাইকে শান্ত ও দায়িত্বশীল থাকার আহ্বান জানায়। অনেক সংখ্যালঘু পরিবার নিরাপত্তার কারণে গ্রাম ত্যাগ করে।</t>
  </si>
  <si>
    <t>বাংলাদেশের দিনাজপুর, ময়মনসিংহ, সিলেট ও রাজশাহী ক্যাথলিক বিশপের এলাকা ঢাকার বিশপের অধীনে, আর বরিশাল ও খুলনার এলাকা চট্টগ্রামের বিশপের অধীনে।</t>
  </si>
  <si>
    <t>বান্দরবানে ধর্মীয় গোষ্ঠীর উগ্রবাদীরা সংখ্যালঘুদের রক্তদান নিষিদ্ধ করে; ফলে অন্তত ৪০ জন মারা যায়।</t>
  </si>
  <si>
    <t>হিন্দু/খ্রিস্টানরা বিশৃঙ্খলভাবে দৌড়ে পালানোর চেষ্টা করেছিল এবং সশস্ত্র জনতা তাদের উপর আঘাত করেছিল। তারা পুরুষদের নির্বিচারে হত্যা করে এবং প্রকাশ্যে দিনের আলোতে মহিলাদের সন্মানহানি করে।</t>
  </si>
  <si>
    <t>খ্রিস্টান মিশনারিরা ধর্মান্তরের নামে দেশের ধর্মীয় ঐতিহ্য ও সংস্কৃতিকে অবজ্ঞা করছে যা দেশের সামাজিক ঐক্যকে ধ্বংস করছে।</t>
  </si>
  <si>
    <t>সোশ্যাল মিডিয়ায় কয়েকদিন ধরে হিন্দু ধর্মের বিরুদ্ধে বিদ্বেষমূলক পোস্ট দেখা যাচ্ছে, যেখানে তাদের বিশ্বাস ও আচরণ নিয়ে অবমাননাকর মন্তব্য করা হচ্ছে।</t>
  </si>
  <si>
    <t>হিজাব পরতে হিন্দু নারীদের জোর করা হয় মুসলিমদের থেকে আলাদা রাখতে এবং ধর্মীয় পরিচয়ে অপমান করে সমাজে হিন্দু সম্প্রদায়কে দুর্বল ও নিপীড়িত করার পরিকল্পনার অংশ হিসেবে।</t>
  </si>
  <si>
    <t>মহানবী (সা.)-কে নিয়ে আপত্তিকর মন্তব্যের জেরে বাংলাদেশের মুসলিম সম্প্রদায়ের বিক্ষোভ সহিংসতায় পরিণত হয়। ইসলামি সংগঠনের নেতারা শান্তির আহ্বান জানিয়েছেন। সহিংসতায় দুজন নিহত ও পুলিশসহ অন্তত ৩০ জন আহত হন।</t>
  </si>
  <si>
    <t>২০১৯ সালের সেপ্টেম্বর মাসে এক ধর্মীয় গোষ্ঠী সংখ্যালঘুদের স্কুল থেকে বিতাড়িত করে, বিক্ষোভ চলাকালীন ২৩ জন নিহত হন।</t>
  </si>
  <si>
    <t>ইসলামের সব কিছুই তাদের কাছে অপছন্দের এবং অযৌক্তিক। তাই এক্সট্রাম্যারিটাল এফেয়ার, পর্ণগ্রাফি, প্রি ম্যারিটাল সেক্স, শালীনতা, ফ্যাশন বিজনেস, নগ্নতা, নারীবাদ - এই টপিকগুলোতে আমার এবং লাইফস্প্রিং এর প্রতিটি বক্তব্যে এরা খুব সহজে ট্রিগারড হন।</t>
  </si>
  <si>
    <t>আল্লাহ ছাড় দেয় কিন্তু ছেড়ে দেয় না তসলিমা নাসরিন কোরআন অবমাননার কারণে আল্লাহর গজব এ পঙ্গু হয়ে পড়ে আছে ইনশাআল্লাহ ওই ব্যক্তির আল্লাহর গজব থেকে রেহাই পাবে না</t>
  </si>
  <si>
    <t>মুসলিমদের বাড়ি-ঘর ভাঙচুর করেছে হিন্দুরা, নারীদের ওপর নৃশংস নির্যাতন চালানো হয়েছে।</t>
  </si>
  <si>
    <t>মুসলমানদের বিরুদ্ধে ক্রমবর্ধমান সহিংসতার একটি প্রধান কারণ হ'ল হিন্দু-জাতীয়তাবাদী দলগুলির বিস্তার, যেগুলি রাষ্ট্রীয় স্বয়ংসেবক সংঘের রাজনৈতিক ছাতার পাশাপাশি বা তার অধীনে কাজ করে [৬] ।</t>
  </si>
  <si>
    <t>খ্রিস্টান ধর্মে বলা হয়েছে যে, সকল মানুষের মধ্যে ঈশ্বরের ভালোবাসা বিরাজমান এবং তাদের একে অপরের প্রতি শ্রদ্ধা ও সহানুভূতি প্রদর্শন করা উচিত, কারণ ঈশ্বর তার সৃষ্টি সবার প্রতি সমানভাবে ভালোবাসা দেখিয়েছেন, এবং এটি কোনভাবেই সহিংসতা বা বিদ্বেষের দিকে পরিচালিত করে না।</t>
  </si>
  <si>
    <t>৪ ডিসেম্বর ২০২৩ কুমিল্লার বরুড়ায় রাধাকৃষ্ণ মন্দিরে ঢুকে প্রতিমার গায়ে আগুন দিয়ে পুড়িয়ে ফেলা হয়</t>
  </si>
  <si>
    <t>২০১৭ সালের ফেব্রুয়ারিতে এক গোষ্ঠী ধর্মীয় অনুভূতিতে আঘাত দেয়ার অভিযোগে এক শিল্পীর প্রদর্শনীতে হামলা চালিয়ে তাকে মারাত্মক জখম করা হয়, এতে আরও ১৬ জন নিহত হয়।</t>
  </si>
  <si>
    <t>ধর্ম অবমাননার যে কোন অভিযোগ, সেটা সত্য হোক কিংবা মিথ্যা, এসব লোককে খুব সহজেই বিক্ষুব্ধ করে তোলে।</t>
  </si>
  <si>
    <t>রাব্বিনিক সাহিত্য স্বর্গদূত ও মৃতদের শাস্তি প্রদানের ঐতিহ্যবাহী ধারণা সরবরাহ করে, যেখানে দুষ্ট আত্মাদের শাস্তি দেওয়া হয় বিশেষ ফেরেশতাদের দ্বারা।</t>
  </si>
  <si>
    <t>"হামলার পর থেকে গ্রামে আমাদের ঘরগুলোতে মহিলা, শিশু এবং যুবকরা থাকছে না। তারা অন্য এলাকায় আত্নীয় স্বজনের বাড়িতে থাকছে। বয়স্ক পুরুষরা এখন শুধু ঘরগুলোতে আছেন"।</t>
  </si>
  <si>
    <t>আপনি পত্রিকায় হেডলাইন ও বিস্তারিত ভালো করে পড়েন। মন্দির অঙ্গনে মসজিদ কেন হবে? জায়গার কি অভাব পড়ছে?</t>
  </si>
  <si>
    <t>সমুদ্র সৈকতের শহর কক্সবাজার জেলার রামুতে ২০১২ সালের ২৯শে সেপ্টেম্বর ফেসবুকে একটি ছবি ট্যাগ করার ঘটনায় ধর্মীয় উগ্রতা ও সাম্প্রদায়িক সহিংসতা ছড়িয়ে পড়ে।</t>
  </si>
  <si>
    <t>খাগড়াছড়িতে একটি নতুন বৌদ্ধ বিহারে স্থাপিত ধর্মীয় প্রতীক পুড়িয়ে দেয় একদল দুর্বৃত্ত।</t>
  </si>
  <si>
    <t>২০২১ সালের ফেব্রুয়ারিতে এক খ্রিস্টান মন্দিরে হামলা চালিয়ে ২৮ জন নিহত হন, মন্দিরে ব্যাপক ভাঙচুর হয়।</t>
  </si>
  <si>
    <t>বীর মুক্তিযোদ্ধারা কখনোই ইসলামের বিরোধিতা করেননি; কিছু নামধারী বামপন্থী কথিত মুক্তিযোদ্ধার পরিচয়ে এমন অপতৎপরতায় জড়িত।</t>
  </si>
  <si>
    <t>কোরআন সম্পর্কে এরকম সুন্দর আলোচনা করার জন্য আল্লাহ আপনাকে উত্তম প্রতিদান দান করুন</t>
  </si>
  <si>
    <t>এক গোষ্ঠী ধর্মীয় ভিন্নমত প্রকাশকারীদের ওপর হামলা চালিয়ে ২১ জন হত্যা করে।</t>
  </si>
  <si>
    <t>৬ জুন ২০২৩ চট্টগ্রামের বাঁশখালীতে একটি ছোট দুর্গামন্দিরে হামলা করে দুর্গা ও কার্তিকের মূর্তি ভাঙচুর করা হয় এবং মন্দিরের দেয়ালে ধর্মীয় হুমকিসূচক বার্তা লিখে যায়</t>
  </si>
  <si>
    <t>কেন্দ্রীয় হরি মন্দিরের সভাপতি ও উপজেলা পূজা উদ্‌যাপন কমিটির সভাপতি প্রবীর কুমার বিশ্বাস প্রথম আলোকে বলেন, শুক্রবার দিবাগত রাত একটা থেকে শনিবার সকাল ছয়টার মধ্যে তিনটি মন্দিরের প্রতিমা ভাঙচুর করা হয়।</t>
  </si>
  <si>
    <t>বারবার শুধু এই কথাটাই মাথায় আসছে। কেন এই তালিবান শাসন, কারা এই জঘন্য মুসলিম মৌলবাদের পৃস্টপোষক। আরো হতাশ লাগছে - আপামর উন্নত-অনুন্নত সমস্ত বিশ্বের কোনও দেশই এর বিরুদ্ধে কোনরকম পদক্ষেপ গ্রহণ করেনি।</t>
  </si>
  <si>
    <t>আপনাদের স্যারকে ফিরিয়ে আনা ছাড়া প্রয়োজনে ক্লাসে বসবেন না ইনশাআল্লাহ। এই অন্যায় আজকে এই শিক্ষকের সাথে হবে তো কাল আপনাদের সাথে হবে!</t>
  </si>
  <si>
    <t>গণজমায়েতকে আমরা নিরুৎসাহিত করছি। মসজিদে জামাতে নামাজ পড়ার ক্ষেত্রেও অসুস্থ, বয়স্ক এবং সম্প্রতি বিদেশ ফেরত, তাদেরকে আমরা মসজিদে আসা থেকে বিরত থাকতে উৎসাহিত করছি।</t>
  </si>
  <si>
    <t>হিন্দুধর্মাবলম্বী কোনো মানুষ মারা গেলে মৃত ব্যক্তির আত্মার সদ্‌গতির জন্য শেষকৃত্য সম্পন্ন করতে হয়। শেষকৃত্যের তিনটি ধাপ আছে। ১. পিণ্ডদান; ২. পিণ্ডলেপ ও ৩. জলদান।</t>
  </si>
  <si>
    <t>এক উপজাতি খ্রিষ্টান মেয়েকে ধর্মান্তরে বাধ্য করে বিয়ে দেয়া হয়। প্রতিবাদ করায় তার বাবাকে গাছে বেঁধে হত্যা করা হয়। মোট নিহত: ২ জন।</t>
  </si>
  <si>
    <t>অনেকেই হয়ত আমার সাথে একমত হবেন যে, বর্তমান বিশ্বের সবচাইতে ভয়াবহ মানবসৃষ্ট দুর্যোগের নাম সহিংস ধর্ম সন্ত্রাস বা লুকানো রিলিজিয়াস রেসিজম । এর বিষাক্ত ধোঁয়ায় আজ বাংলার আকাশও আচ্ছাদিত ।</t>
  </si>
  <si>
    <t>মেহেরপুরে ফেসবুকে ধর্ম নিয়ে ব্যঙ্গচিত্রের অভিযোগ তুলে সংখ্যালঘু গ্রামে রাতভর ভাঙচুর ও লুটপাট চালায় উগ্র জনতা।</t>
  </si>
  <si>
    <t>এই ইসলামবিদ্বেষী সরকার একে একে সব ফরজ কাজ বন্ধ করে দেবে, মুসলমানদের দমন করাই এদের লক্ষ্য।</t>
  </si>
  <si>
    <t>ধর্মীয় অনুভূতিতে আঘাতের অভিযোগে এক শিক্ষককে শিরচ্ছেদ করা হয়। এই নিষ্ঠুর হত্যাকাণ্ড ধর্মের নামে নৃশংসতার ভয়াবহ উদাহরণ হয়ে উঠেছে যা ধর্মীয় সহিংসতার গভীর সংকটকে সামনে আনে।</t>
  </si>
  <si>
    <t>যে রোজা রাখবে সে তার দায়িত্ব পালন করবে.. যে রোজার না রাখে সে কেন এমন নিয়ম পালন করবে</t>
  </si>
  <si>
    <t>এতবছর থেকে কি কারোই নজরে আসে নি এই মসজিদ টা।আজকে জাকা সাহেব যখন একই স্থানে মসজিদটা উন্নয়ন করতে চাইলো।আর তখনই সেটা নিয়ে দেশব্যাপী এতো আলোচনা শুরু হয়ে গেলো।যখন সেই মসজিদের নামে বরাদ্দ আসতো তখন কি কেউ দেখে নি।কেনো এমনটা হচ্ছে আর কেনই বা হবে।</t>
  </si>
  <si>
    <t>প্রাইস সফলভাবে আদালতে যুক্তি দিয়েছিলেন যে আইনে বলা হয়নি যে শবদাহ বৈধ, এটিও বলে না যে এটি অবৈধ। মামলাটি নজির স্থাপন করেছে যা ক্রিমেশন সোসাইটিকে এগিয়ে যাওয়ার অনুমতি দেয়।</t>
  </si>
  <si>
    <t>সা কা চৌধুরীর পিতা কুন্ডেশ্বরী ঔষধালয়ের দানবীর সমাজ সেবক নুতন চন্দ্র সিংহকে ৭১ এ আসন ঘরে ঠাকুরের পুজা দেয়া অবস্হায় টেনে হিচরে বের করে গুলি করে হত্যা করেছিল।</t>
  </si>
  <si>
    <t>যারা ধর্ম নিয়ে বাজে মন্তব্য করে তারা বেশিরভাগই ডিপ্রেশনে থাকে।ফেক আইডি থেকে এইসব বেহায়া কথাবার্তা বলে।</t>
  </si>
  <si>
    <t>কংগ্রেস নেতৃত্ব নোয়াখালী বিভাগ মেনে নেন যার ফলে শান্তি মিশন এবং আক্রান্তদের জন্য ত্রাণ কার্যক্রম পরিত্যক্ত হয়। বেশির ভাগ বেঁচে যাওয়া ও ক্ষতিগ্রস্ত হিন্দুরা তাদের বাড়ি-ঘর ফেলে পশ্চিম বঙ্গ, ত্রিপুরা[১১] এবং আসামে চলে আসে।[১২]</t>
  </si>
  <si>
    <t>৫ মে ২০২৪ ময়মনসিংহের ভালুকায় নতুন নির্মিত একটি ঠাকুরবাড়িতে প্রতিমা স্থাপনকালে তা ভেঙে দেয় স্থানীয় ধর্মীয় সন্ত্রাসীরা</t>
  </si>
  <si>
    <t>ধর্মীয় বিশৃঙ্খলার সময় বহু মুসলিম যুবককে বিনা বিচারে গুলি করে হত্যা করা হয়, প্রশাসন কয়েকদিন পরে ঘটনাস্থল থেকে লাশ উদ্ধার করে। মোট নিহত: ৫৩ জন।</t>
  </si>
  <si>
    <t>ফেনীতে ধর্মীয় দাঙ্গায় সংখ্যালঘু সম্প্রদায়ের ওপর হামলায় অন্তত ৩৮ জন নিহত হন।</t>
  </si>
  <si>
    <t>শেরপুরে এক ধর্মীয় গোষ্ঠীর কারণে সংখ্যালঘুদের বাড়িঘর ভেঙে ফেলা হয়; এতে ৩৪ জন প্রাণ হারান।</t>
  </si>
  <si>
    <t>নোয়াখালী দাঙ্গায় হিন্দুদের জীবন্ত আগুনে পুড়িয়ে মারা হচ্ছে; গান্ধীজি বলেন, হিন্দুদের নোয়াখালী ছাড়তে হবে বা ধ্বংস হতে হবে।</t>
  </si>
  <si>
    <t>আদিবাসী ধর্মীয় উৎসবে হামলা চালিয়ে ১২ জনকে হত্যা করে, মূর্তি ভাঙচুর করা হয় এবং এলাকাটি সাম্প্রদায়িক উত্তেজনার কেন্দ্রবিন্দুতে পরিণত হয়। মোট নিহত: ১২ জন।</t>
  </si>
  <si>
    <t>মধ্যপালপাড়া এলাকায় ৮টি বাড়িঘরে হামলা হয়েছে। সেখানে পলাশ দাসের মুদি দোকানের মালপত্র লুট এবং ভাঙচুর করা হয়। ভজন কর্মকারের বাড়িঘর ভাঙচুর ও মন্দিরে প্রতিমা ভাঙা হয়</t>
  </si>
  <si>
    <t>জৈন ধর্ম অহিংসা ও ত্যাগের মাধ্যমে আধ্যাত্মিক মুক্তি ও মানব কল্যাণ শিক্ষা দেয়।</t>
  </si>
  <si>
    <t>আপনাকে শত চেষ্টা করেও একটা গুষ্টি...ব্যাক্তি কিংবা ধর্মের বিরুদ্ধে লিখানোর চেষ্টায় ওরা বিফল হয়েছে</t>
  </si>
  <si>
    <t>বাংলাদেশের সংবিধানে ইসলামকে রাষ্ট্রধর্ম ঘোষণা করা হয়েছে । বাংলাদেশ চতুর্থ বৃহত্তম মুসলিম জনসংখ্যার দেশ।</t>
  </si>
  <si>
    <t>অভিমান ও হতাশার কারণে কেউ আত্মহত্যা করতে পারে, যদিও ধর্মীয় দৃষ্টিতে আত্মহত্যা মহাপাপ এবং কাম্য নয়।</t>
  </si>
  <si>
    <t>হিন্দু সম্প্রদায়ের অনেকেই অন্য ধর্মাবলম্বীদের প্রতি হিংসাত্মক মনোভাব পোষণ করে যা দেশের শান্তি বিনষ্ট করে।</t>
  </si>
  <si>
    <t>আর একশ্রেণীর লোক আছে, যারা অজ্ঞতাবশত খেল-তামাশার বস্তু ক্রয় করে বান্দাকে আল্লাহর পথ থেকে উদাসীন করার জন্য।</t>
  </si>
  <si>
    <t>মুসলিম হওয়ার কিছুদিনের মধ্যে মা ক্যান্সারে আক্রান্ত হয়ে মারা যান। কিন্তু ইসলাম আমাকে ধৈর্যধারণে সাহায্য করে। দুঃখ-ব্যথার সময় আমরা শুধু আল্লাহর কাছে যেতে পারি। ইসলামই চূড়ান্ত সত্য ও পূর্ণাঙ্গ জীবনধারা। আল্লাহর পক্ষ থেকে মানুষ জাতির প্রতি প্রেরিত শেষ সত্য এবং শেষ সুযোগ।</t>
  </si>
  <si>
    <t>২০১৮ সালের অক্টোবর মাসে ধর্মীয় গোষ্ঠী সংখ্যালঘুদের ওপর সহিংসতা চালিয়ে ২৩ জন নিহত হয়; বহু মানুষ গৃহহীন হয়।</t>
  </si>
  <si>
    <t>এটা বুঝিনা ধর্ম নিয়ে এত বারাবারি কেন? তোমার ধর্ম যদি সঠিক হয় তুমি স্বর্গে যাবা তাহলে সেটা মন দিয়ে কর অন্যের ধর্ম নিয়া খাইজ্জাইয়া কি লাভ। পারলে তোমার ধর্ম তুলে ধর মানুষের কাছে আমিও তুলে ধরবো আমার ধর্ম,মানুষ যেটা পচ্ছন্দ করে। গালাগালি মারামারির কি দরকার।</t>
  </si>
  <si>
    <t>এদেশের হিন্দু মুসলিম সাম্প্রদায়িক সম্প্রীতি কে এরা উষ্কে দিতে চায় আরকি।</t>
  </si>
  <si>
    <t>ঝিনাইদহে এক ধর্মীয় গোষ্ঠীর কারণে সংখ্যালঘুদের বাজার পুড়িয়ে দেওয়া হয়; এতে ৩১ জন প্রাণ হারান।</t>
  </si>
  <si>
    <t>জামণ্ডপে কোরআন অবমাননার গুজব ছড়িয়ে পড়ায় উগ্র মুসলমানরা দেশের বিভিন্ন স্থানে পূজামণ্ডপ, মন্দির ও হিন্দু সম্প্রদায়ের স্থানে হামলা চালায়।</t>
  </si>
  <si>
    <t>ইসলামের রাজনৈতিক ব্যবহার বন্ধ করুন। ধর্মীয় জোরজবরদস্তী বন্ধ করুন। - তাহলে আমরা আর কিছু বলবোনা। ধর্মকে পারজগতিক বিষয় এবং একান্ত ব্যক্তিগত বিষয় হিসাবে রাখুন।</t>
  </si>
  <si>
    <t>বাড়িঘর ভাঙচুর, আগুন দেয়ার ঘটনাও ঘটে। পুলিশ তদন্তে জানা যায়, সেখানে কুরআন রেখেছিল ইকবাল হোসেন নামক এক ব্যক্তি। সিসি ক্যামেরার ফুটেজে দেখা যায় ঐদিন মধ্যরাতে নিকটবর্তী একটি মাজার থেকে কুরআন হাতে বের হয়ে তাকে পূজা মণ্ডপের দিকে যেতে দেখা যায় এবং শেষে হনুমানের হাতের অস্ত্রটি নিয়ে রাস্তায় ঘুরাফেরা করতে দেখা যায়।</t>
  </si>
  <si>
    <t>হিন্দু মুসলিম একত্রে বসবাস করলে, তারা ধর্মীয় ভিন্নতা সত্ত্বেও মানবিক মূল্যবোধের প্রতি শ্রদ্ধা রেখে সমাজে শান্তি ও ঐক্য বজায় রাখে, যা পৃথিবীকে আরো সুন্দর ও মানবিক করে তোলে।</t>
  </si>
  <si>
    <t>সৎ পথে চলা মু’মিনদের প্রতি ফেরেশতারা দয়ালু ও কোমল, তাদের মৃত্যু হয় কম কষ্টের। অন্যদিকে, অসৎ বা অবিশ্বাসীদের প্রতি ফেরেশতারা কঠোর এবং তাদের মৃত্যু যন্ত্রণাদায়ক হয়।</t>
  </si>
  <si>
    <t>আমরা সেই মুসলিম যারা আমাদের ইসলামের জন্য জীবন দিতে রাজি আছি | ইসলাম যদি আমাদের দেহ হয় কোরআন আমাদের আত্মা আমাদের আত্মায় হাত দিলে কাওকে ছেরে কথা বলবো না ইনশাআল্লাহ</t>
  </si>
  <si>
    <t>আপনি দুনিয়ায় যাই করেন, সেক্যু কম্যু আর বামু যাই হননা কেনো, অন্তত মৃত্যুর পর যেনো আপনাকে ধর্মীয় পদ্ধতিতে জানাযা করে সমাহিত করা হয় সেই ওসিয়ত অন্তত করে রাখবেন স্বজনদের।</t>
  </si>
  <si>
    <t>মুসলিম সেনাবাহিনী অসংখ্য হিন্দু জাটকে যুদ্ধবন্দী হিসাবে বন্দী করে অন্যত্র দাস হিসাবে স্থানান্তরিত করে।</t>
  </si>
  <si>
    <t>পাঠ্যটি সতীদাহের উৎপত্তি হিসাবে উল্লেখ করা হয়েছিল, বৈচিত্র্যপূর্ণ পাঠের মাধ্যমে কর্তৃপক্ষকে জোর দিয়েছিল যে বিধবা তার মৃত স্বামীর সাথে অন্ত্যেষ্টিতে যোগদান করে বাস্তবে আত্মত্যাগ করে।</t>
  </si>
  <si>
    <t>২০০৮ সালে বাংলাদেশের একটি মসজিদের বাইরে সংঘটিত বিস্ফোরণের পেছনে ধর্মীয় চরমপন্থী সংগঠনের সম্পৃক্ততা তদন্তে উঠে আসে।</t>
  </si>
  <si>
    <t>শেরপুরে নির্মাণাধীন মন্দিরের ছাদে পাথর ছুঁড়ে মূর্তি তৈরির কাঠামো ভেঙে দেয়া হয়।</t>
  </si>
  <si>
    <t>বাংলাদেশ হিন্দু বৌদ্ধ খ্রিষ্টান ঐক্য পরিষদ এক সংবাদ সম্মেলনে দাবি করেছে গণঅভ্যুত্থানের পর গত সাড়ে চার মাসে দেশে সাম্প্রদায়িক সহিংসতার ঘটনায় ২৩ জন হত্যার শিকার হয়েছেন।</t>
  </si>
  <si>
    <t>খ্রিস্টান সম্প্রদায়ের কিছু ব্যক্তি ধর্মান্তরের নামে বিভাজন সৃষ্টি করে এবং ধর্মীয় সংহতি বিনষ্ট করে।</t>
  </si>
  <si>
    <t>ধর্ম আগে না মানুষ আগে। ধর্মের জন্য মানুষ এসেছে নাকি মানুষের জন্য ধর্ম। যতদিন ধর্মীয় বিশ্বাস দিয়ে মানুষকে বিচার করা হবে ততদিন সংখ্যালঘুরা বঞ্চনার শিকার হতে হবে।</t>
  </si>
  <si>
    <t>২০২১ সালের ১৩ থেকে ১৯ অক্টোবর, দুর্গাপূজা চলাকালে কুমিল্লায় কোরআন অবমাননার গুজব ছড়িয়ে পড়লে সারা দেশে হিন্দুদের উপর হামলা হয়। ৮০টির বেশি মন্দির ও পূজামণ্ডপ ভাঙচুর হয়, কমপক্ষে ৮ জন নিহত হন।</t>
  </si>
  <si>
    <t>গাভা নরেরকাঠীতে রাজাকারদের সহায়তায় হিন্দুদের ওপর বর্বর হামলায় শতাধিক মানুষকে হত্যা করা হয় এবং আত্মরক্ষায় অনেকেই আত্মহত্যা করেন বা গ্রাম ছেড়ে পালিয়ে যান।</t>
  </si>
  <si>
    <t>যশোরে একটি হিন্দু পূজার সময় প্যান্ডেলে অগ্নিসংযোগের চেষ্টা করা হয়, পুজো সামগ্রী ও মূর্তি ভেঙে গুঁড়িয়ে দেয়া হয়।</t>
  </si>
  <si>
    <t>২০১৯ সালের জুন মাসে এক ধর্মীয় প্রার্থনার সময় হামলা চালিয়ে শিশু ও বৃদ্ধদের হত্যা করা হয়, মৃতদেহ নদীতে ফেলা হয়, এতে ৩৩ জন নিহত হয়।</t>
  </si>
  <si>
    <t>বাংলাদেশের নিকটবর্তী একটি এলাকায় সংঘর্ষ ছড়িয়ে পড়ে। সেখানে একটি মসজিদে আগুন ধরানো হয়।</t>
  </si>
  <si>
    <t>একটি ধর্মনিরপেক্ষ রাষ্ট্র হল ধর্মনিরপেক্ষতার সাথে সম্পর্কিত একটি ধারণা, যেখানে একটি রাষ্ট্র ধর্মের বিষয়ে সরকারীভাবে নিরপেক্ষ হতে চায় এবং ধর্ম বা ধর্মকে সমর্থন করে না। [</t>
  </si>
  <si>
    <t>হিন্দু বিধবাদের ওপর ধর্মীয় নিয়মে চাপিয়ে দেওয়া সতীদাহে বহু নারী আত্মহত্যা বা জীবন্ত দগ্ধ হয়েছে, যা প্রাচীন কাল থেকেই নারীদের প্রতি এক নির্মম ধর্মীয় নির্যাতনের প্রতীক ছিল।</t>
  </si>
  <si>
    <t>এক গোষ্ঠী ধর্মীয় বিদ্বেষে মন্দিরের ভাঙচুর করে, সংঘর্ষে ২৬ জন নিহত হয়।</t>
  </si>
  <si>
    <t>"ধর্মের স্বাধীনতা" হলো এর মৌলিক কাঠামো যা বাংলাদেশী সংবিধান দ্বারা নিশ্চিত করা হয়েছে যেখানে এটি তার সকল নাগরিককে তাদের ধর্মীয় পার্থক্য নির্বিশেষে সমান অধিকারের আহ্বান জানায় এবং এটি বিভিন্ন ক্ষেত্রে ধর্মের বৈষম্যকে নিষিদ্ধ করে।</t>
  </si>
  <si>
    <t>১৪ই ফেব্রুয়ারির বিকেলে লামাবাজার নামের এক বিপণীকেন্দ্র মুসলিমরা লুট করে। ১৫ই ফেব্রুয়ারি সকাল থেকেই গ্রামাঞ্চলে লুটপাট এবং হত্যা শুরু হয়। সকাল নটায় মূর্তি নামক গ্রামে আক্রান্ত হয়। হাজার হাজার মুসলিম হিন্দুবিদ্বেষী স্লোগান সহকারে সেনাপতি পরিবারের উপর ঝাপিয়ে পড়ে।</t>
  </si>
  <si>
    <t>যারা মানুষের ওপর জুলুম করে এবং প্রাপ্য অধিকার থেকে বঞ্চিত করে তাদের ব্যাপারে রাসুল (সা.) বলেছেন, ‘নিশ্চয়ই যারা মানুষকে অন্যায়ভাবে কষ্ট দেয়, আল্লাহ তাআলা তাদের শাস্তি প্রদান করবেন।</t>
  </si>
  <si>
    <t>ধর্মের নামে অপমান এবং নৈতিক ও সামাজিক নিয়মের অবক্ষয় আমাদের মানবিক মূল্যবোধকে ক্ষতিগ্রস্ত করছে।</t>
  </si>
  <si>
    <t>আজ যারা কুরআন অবমাননা করে এবং আসমানী কিতাবের অমর্যাদা করে, তাদের পরিণাম আল্লাহ তাআলা ঘোষণা করেছেন। এসব আয়াত এবং বর্তমান কুরআন-অবমাননার ঘটনায় মুসলমানদের জন্য শিক্ষণীয় অনেক বিষয় আছে।</t>
  </si>
  <si>
    <t>২০০১ এবং ২০০৫ সালের এপ্রিলের মধ্যে মন্দিরে হামলার একশটি মামলা পুলিশের কাছে নথিভুক্ত হয়েছে।</t>
  </si>
  <si>
    <t>ইসলাম ও বিজ্ঞান গ্রুপে ইসলামি ব্যাক্তিগন মনের আনন্দে ইসলামিক বিজ্ঞান চর্চা করতে পারবে...! একই সাথে অন্য ধর্মের সমালোচনা নিজেদের মধ্যে রাখবে। ইসলাম ও বিজ্ঞান গ্রুপে বিধর্মীদের এড না দেওয়ার অনুরোধ জানাই</t>
  </si>
  <si>
    <t>আত্মহত্যার দ্বিতীয় প্রধান কারণ ভুল প্রত্যাশা; কেউ ভাবতে পারে আত্মহত্যা করলে গ্লানি ও কষ্ট থেকে মুক্তি মিলবে।</t>
  </si>
  <si>
    <t>আমার সন্তান নিয়ে চিন্তা ছিল, আপনার কথা শুনে মন শান্ত হলো। আল্লাহ তাকে সঠিক পথে নিয়ে আসুন।</t>
  </si>
  <si>
    <t>২০১৯ সালের জুলাই মাসে এক ধর্মীয় গোষ্ঠীর উগ্রবাদীরা সংখ্যালঘুদের রক্তদান নিষিদ্ধ করে; এর ফলে অন্তত ৪১ জন রোগী মারা যায়।</t>
  </si>
  <si>
    <t>এক ব্যক্তি নিহত এবং কমপক্ষে ১৫ জন আহত হয়েছে বাংলাদেশে।</t>
  </si>
  <si>
    <t>কোনো হিন্দুর মুসলমান হয়ে যাওয়ার মানে শুধু হিন্দু সমাজের একজন সদস্য কমে যাওয়া নয়, একজন শত্রু বৃদ্ধি পাওয়া</t>
  </si>
  <si>
    <t>গ্রামে ঢুকে তারা মসজিদ ও ঘরবাড়িতে আগুন দেয় নগদ টাকা স্বর্ণালঙ্কার লুট করে ধর্মীয় পরিচয়ের ভিত্তিতে নিরীহ মানুষদের গুলি করে হত্যা করে স্কুলের সামনে দাঁড় করিয়ে গণহত্যা চালায়।</t>
  </si>
  <si>
    <t>লাইন করে দাঁড় করিয়ে পিছন দিক থেকে ব্রাশ ফায়ার করে হত্যা করা হয় এবং যারা বেঁচে যান তাদের ধারালো অস্ত্র দিয়ে কুপিয়ে ও খুঁচিয়ে নির্মম ভাবে হত্যা করা হয়। একে একে তাদের লাশ ঢাপঢুপ বিলে ফেলে লাশের ওপর সামান্য মাটি ছিটিয়ে দেওয়া হয়। পুরুষদের বেছে বেছে হত্যা করা হয়েছিল।[৪] ঢাপঢুপ বিল থেকে পাঁচশো গজ দক্ষিণে শুখানপুখুরি গ্রাম। যা বর্তমানে বিধবা পল্লী বা বিধবা গ্রাম হিসেবে পরিচিত।</t>
  </si>
  <si>
    <t>চট্টগ্রামে চারজন বৌদ্ধ সম্প্রদায়ের ব্যক্তিকে কুপিয়ে আহত করা হয়। যাদের মধ্যে একজন ছিলেন পুলিশ ইনস্পেক্টর। এছাড়া বেশ কিছু বৌদ্ধমঠ ধ্বংস করে দেয় মুসলিমরা।</t>
  </si>
  <si>
    <t>কুরআনে সুরা আন-নামল এ উল্লেখ আছে কুইন অব শেবা বিলকিসকে যখন নবী সুলাইমান বিয়ে করেন, তিনি তার রাজত্ব এবং বিপুল সম্পদ অধিকার করেননি।শেবা রাজ্যের রাজ দায়িত্ব এবং তার সম্পদের মালিকানা আমৃত্যু বিলকিসেরই ছিল।</t>
  </si>
  <si>
    <t>হিন্দুদের মধ্যে কিছু লোক ধর্মীয় গোঁড়ামি দেখিয়ে অন্য ধর্মাবলম্বীদের অবমাননা করে, যা দেশে সাম্প্রদায়িক ভেদাভেদের বীজ বুনছে।</t>
  </si>
  <si>
    <t>চোখের জিন এত ভয়াবহ যে সিজদা করলেও তা চোখে দেখা যায়, আস্তাগফিরুল্লাহ।</t>
  </si>
  <si>
    <t>সরকারি প্রতিবেদনে বলা হয়েছে যে সাম্প্রদায়িক সহিংসতার ফলে কমপক্ষে ৩৯ জন নিহত হয়েছেন, ৩৬৫ টিরও বেশি গির্জা ভাঙচুর বা ধ্বংস করা হয়েছে, ৫,৬০০ টিরও বেশি বাড়ি লুট করা হয়েছে বা পুড়িয়ে দেওয়া হয়েছে, ৬০০টি গ্রামে লুটপাট চালানো হয়েছে এবং ৫৪,০০০ এরও বেশি লোককে ঘরছাড়া করা হয়েছে।</t>
  </si>
  <si>
    <t>ইসকন একটি আন্তর্জাতিক সংগঠন, যা গৌড়ীয় বৈষ্ণব ধর্মীয় আদর্শ ও সনাতনী মূল্যবোধকে ধারণ করে শান্তিপূর্ণভাবে ধর্মীয় চর্চা এবং মানবকল্যাণমূলক কার্যক্রম পরিচালনা করে। আমরা সর্বদা শান্তি, সম্প্রীতি ও সৌহার্দ্যের পক্ষে কাজ করেছি। ভবিষ্যতেও একই আদর্শে কাজ করতে অঙ্গীকারবদ্ধ</t>
  </si>
  <si>
    <t>ধর্মীয় ভিন্নতা থাকা সত্ত্বেও, হিন্দু মুসলিম একত্রে শান্তিতে জীবন কাটালে তারা একে অপরের সংস্কৃতি ও ঐতিহ্যকে সম্মান জানিয়ে সমাজে সহমর্মিতা এবং সমঝোতার পরিবেশ সৃষ্টি করতে পারে।</t>
  </si>
  <si>
    <t>বাংলাদেশের কুমিল্লায় পূজামণ্ডপ, মন্দির ও প্রতিমা ভাঙচুর এবং অগ্নিসংযোগের ঘটনার পর সরকার ২২টি জেলায় বিজিবি (বর্ডার গার্ড বাংলাদেশ) মোতায়েন করে।[১২] সরকারের পক্ষ থেকে সাধারণ মানুষকে শান্ত থাকার আহ্বান জানানো হয়।</t>
  </si>
  <si>
    <t>কুসংস্কারে ভরপুর যদি কোন ধর্ম থেকে থাকে তবে নিঃসন্দেহে বলা যেতে পারে সেটা হলো সনাতনীরা (হিন্দুধর্মের)</t>
  </si>
  <si>
    <t>এই পবিত্র তিথিতে বুদ্ধ জন্মগ্রহণ করেছিলেন, বোধি বা সিদ্ধিলাভ করেছিলেন এবং মহাপরিনির্বাণ লাভ করেছিলেন। এই দিনে বৌদ্ধধর্মাবলম্বীগণ স্নান করেন, শুচিবস্ত্র পরিধান করে মন্দিরে বুদ্ধের বন্দনায় রত থাকেন।</t>
  </si>
  <si>
    <t>জোরপূর্বক ধর্মান্তরকরণ, নথিভুক্ত গণহত্যা, মন্দির ও ধর্মীয় স্থান ধ্বংস করা, এবং শিক্ষা প্রতিষ্ঠান ধ্বংস করা উল্লেখিত।</t>
  </si>
  <si>
    <t>হিন্দু মুসলিম একত্রে শান্তিতে বসবাস করলে, তারা প্রতিদিনের জীবনে শান্তি, শ্রদ্ধা এবং ভালোবাসা প্রতিষ্ঠা করে, যা তাদের সমাজের উন্নতি এবং ঐক্যকে আরও শক্তিশালী করে তোলে।</t>
  </si>
  <si>
    <t>ধর্মীয় অনুভূতিতে আঘাতের নামে উসকানি, হেনস্থা ও সাম্প্রদায়িকতার বিস্তার দুঃখজনক এবং গভীর ষড়যন্ত্রের অংশ।</t>
  </si>
  <si>
    <t>২০১২ সালে বাংলাদেশে এক যুবকের নামে ধর্ম অবমাননার অভিযোগ তুলে বৌদ্ধ মন্দির ও পল্লিতে হামলা চালানো হয়, যদিও তদন্তে অভিযোগের সত্যতা পাওয়া যায়নি।</t>
  </si>
  <si>
    <t>২১ জানুয়ারি ২০২৪ ঝিনাইদহের মহেশপুরে একটি মনসা মন্দিরে দুর্বৃত্তরা ঢুকে পূজার সামগ্রী ছুঁড়ে ফেলে এবং প্রতিমার গলা ভেঙে দেয়</t>
  </si>
  <si>
    <t>পার্বত্য চট্টগ্রামে ধর্মীয় সংখ্যালঘু রাখাইনদের উপর নৃশংস হামলায় ৩০০ মানুষ নিহত হয়। হত্যার ভয় ও অপমান সইতে না পেরে অনেকে আত্মহত্যার পথ বেছে নেয়।</t>
  </si>
  <si>
    <t>রা রাসূল সা এর শান্তিপূর্ণ আদর্শকে অস্বীকার করে, তাদের উগ্রতা আজ ধর্মের নামে বাংলাদেশেও সংঘাত সৃষ্টি করছে, অথচ তিনি ছিলেন সহনশীলতা ও বুদ্ধিমত্তার প্রকৃত প্রতীক।</t>
  </si>
  <si>
    <t>উত্তরে আমি শুধু এটুকুই বলতে পারি যে, আমি আসলেই জানি না প্রথম কখন ইসলামের আলো আমাকে ছুঁয়েছে</t>
  </si>
  <si>
    <t>দিনাজপুরের পার্বতীপুরে দলিত সম্প্রদায়ের একজন কলেজ ছাত্রীর ফেসবুক হ্যাক করে অন্য ধর্ম নিয়ে পোস্ট দেয়ার অভিযোগের তথ্য প্রমাণ তারা পুলিশকে দিয়েছেন। কিন্তু সেই ঘটনা নিয়ে সেখানে ঐ ছাত্রীর বাড়িতে ভাঙচুর করা হয় এবং পুলিশ তাকেই গ্রেপ্তার করেছে।</t>
  </si>
  <si>
    <t>ধর্মীয় কারণে এক গ্রামের পানীয়জল সরবরাহ বন্ধ করে দেয়া হয়, পানীয়জলের অভাবে ২৫ জন মারা যান।</t>
  </si>
  <si>
    <t>জগন্নাথ পাড়ার দত্তবাড়ি মন্দির, সূত্রধরপাড়ার কালীমন্দির,শ্রীশ্রী আনন্দময়ী কালী মন্দিরসহ ১৫টি মন্দির ও দুই শতাধিক বাড়িঘরে হামলা-ভাঙচুর ও লুটপাট চালানো হয়।</t>
  </si>
  <si>
    <t>ধর্মে ধর্মে বিভেদ নয়, আমি সব ধর্মকেই ভালোবাসি সম্মানের সাথে।</t>
  </si>
  <si>
    <t>রোববার সাধারণ ছাত্রদের ব্যানারে ঢাকা বিশ্ববিদ্যালয় ক্যাম্পাসে এক বিক্ষোভ সমাবেশের পর ইসলামী আন্দোলন বাংলাদেশ নামে একটি ইসলামপন্থী দল মঙ্গলবার ঢাকায় ফরাসী দূতাবাস ঘেরাওয়ের কর্মসূচি দিয়েছে।</t>
  </si>
  <si>
    <t>দেশে বিভিন্ন মন্দিরে হামলা ও প্রতিমা ভাঙচুর পরিকল্পিতভাবে করা হয়েছে ধর্মীয় উত্তেজনা ছড়িয়ে শান্তিপূর্ণ কর্মসূচিকে নস্যাৎ করতে এবং তাদের নেতাকর্মীদের বিরুদ্ধে মিথ্যা মামলা দেওয়ার উদ্দেশ্যে।</t>
  </si>
  <si>
    <t>১৯৮৯ সালে বাংলাদেশের একটি অঞ্চলে, ধর্মীয় বিতর্কের ফলে প্রায় সহস্রাধিক মানুষ সহিংস হামলায় প্রাণ হারিয়েছে এবং সংখ্যালঘু সম্প্রদায়কে সতর্ক করে ধর্মীয় সংগঠনের নেতাকর্মীদের মিছিলের কারণে উত্তেজনা সৃষ্টি হয়েছিল।</t>
  </si>
  <si>
    <t>সোমবার পরিস্থিতি গুরুতর হওয়ায় কারফিউ জারি করা হয় এবং ২৪ বছর বয়সী মুসলিম তরুণের মৃতদেহ পাওয়ার পর আবার সান্ধ্য আইন কার্যকর করা হয়েছে।</t>
  </si>
  <si>
    <t>হিন্দু বলেই চঞ্চলকে গালি, মুসলিম বলেই সোহাগ ভাইকে জংগী বলাএ রা ধর্মবিদ্বেষী নাপাক লোক।</t>
  </si>
  <si>
    <t>রাজবাড়ীতে হিন্দু ও মুসলিম সম্প্রদায়ের মধ্যে সহিংসতা ছড়িয়ে পড়ে। সংঘর্ষে ৩৫ জন নিহত হন এবং অনেক বাড়িঘর ও ব্যবসায়িক প্রতিষ্ঠান পুড়িয়ে দেওয়া হয়।</t>
  </si>
  <si>
    <t>এক খ্রিস্টান সম্প্রদায়ের দোকান এবং ঘর আগুনে পুড়িয়ে ১৩ জন নিহত হন।</t>
  </si>
  <si>
    <t>অনেক হিন্দু বাংলাদেশে শরণার্থী হয়েছে। কিছু বাস ও ট্রেনে যাত্রীদের গুলি করে হত্যা করা হয়েছে। ১৯৯৮ সালের এক গণহত্যায় ২৪ জন নিহত হন। মন্দিরে হামলাও ধর্মীয় অত্যাচারের উদাহরণ।</t>
  </si>
  <si>
    <t>এদেশে ইসলাম ছাড়া কোনো ধর্মের অনুসারীদের থাকার অধিকার থাকা উচিত না।</t>
  </si>
  <si>
    <t>ফাস্টিং অবস্থায় মসজিদ থেকে ফেরার সময় এক মুসলিম কিশোরীকে পিটিয়ে হত্যা করা হয়, যা ইসলামফোবিয়া থেকে উৎসারিত বলে মনে করা হয়।</t>
  </si>
  <si>
    <t>বাংলাদেশে ২০১৫ সালে দিনাজপুরে এক খ্রিস্টান পুরোহিতকে ধারালো অস্ত্র দিয়ে হত্যা করার চেষ্টা করা হয়, যা সাম্প্রদায়িক সহিংসতার দৃষ্টান্ত।</t>
  </si>
  <si>
    <t>বর্তমান যুগে বর্ণ সংস্কারে লালিত কিছু ব্যক্তি তাদের পূর্ব পুরুষদের কৃতকর্ম মুসলমানদের ঘাড়ে চাপিয়ে দিয়ে নিজেরা সাধু সাজার করার অপচেষ্টায় লিপ্ত রয়েছেন।</t>
  </si>
  <si>
    <t>হাজারীবাগের নোয়াখালী মুসলিম শ্রমিক ও মুহাম্মদপুরের বিহারী মুসলিমরা রায়েরবাজারের হিন্দু মৃৎশিল্পীদের উপর হামলা চালায়, ঘরবাড়ি পুড়িয়ে দেয় এবং অন্তত ৯৬ জন হিন্দুকে নির্মমভাবে হত্যা করে।।</t>
  </si>
  <si>
    <t>খুলনা শিপইয়ার্ড, দাদা কোম্পানি,ইস্পাহানী কোম্পানি,কাটা কোম্পানি,সোলম্যান কোম্পানিসহ বিভিন্ন প্রতিষ্ঠানের হাজার হাজার মুসলিম শ্রমিকরা হিন্দুদের উপর এই জঘন্য,অমানবিক জিঘাংসাবৃত্তি চরিতার্থ করে।লোপপুর ইউনিয়নের চেয়ারম্যান এদেরকে মারণাস্ত্র সরবারহ করে এই পাশবিক হিন্দু নিধনকে উৎসাহিত করে।</t>
  </si>
  <si>
    <t>ব্রাহ্মণ্যবাদী হিন্দুরা মুসলমানদের চিরশত্রু মনে করে, কারণ ইসলাম তাদের হাজার বছরের বর্ণবাদী শোষণ ভেঙে দিয়েছিল। এই কারণেই তারা আজও মুসলিম বিদ্বেষ ছড়ায়।</t>
  </si>
  <si>
    <t>ইসলামের মৌলিক বিশ্বাস ও অনুশীলন এবং ইসলামী বিশ্বের ধর্ম ও সমাজের সংযোগের সাথে সম্পর্কিত। ইসলাম গ্রহণকারী বিভিন্ন জাতির ইতিহাস ইসলামী বিশ্ব প্রবন্ধে রয়েছে ।</t>
  </si>
  <si>
    <t>তোমাদের কেউ কোনো অন্যায় সংঘটিত হতে দেখলে সে যেন তা নিজ হাতে প্রতিরোধ করে। (নিজ হাতে প্রতিরোধ করতে) সম্ভব না হলে যেন মুখে প্রতিবাদ করে। যদি তাও সম্ভব না হয় তবে যেন অন্তত মন থেকে ঘৃণা করে। এটা ঈমানের নিম্নতম স্তর</t>
  </si>
  <si>
    <t>বার কিছু বল্লে নাস্তিক ট্যাগ দিয়ে বসে। মানুষ এত ধর্মান্ধ হতে পারে এই গ্রুপের কিছু উগ্র মানুষ না দেখলে বুঝতাম না।</t>
  </si>
  <si>
    <t>নৃশংস হত্যাকাণ্ড দেখে নারীদের কেউ কেউ চিৎকার শুরু করলে তাদের বন্দুক দিয়ে পিটিয়ে আহত করা হয়। তাদের অনেকেই অজ্ঞান হয়ে যান। তারা মৃতদেহ একত্রে স্তূপ করে পেট্রল দিয়ে আগুন ধরিয়ে দেয়। যারা আহত হয় তারাও আগুনে পুড়ে মারা যায়। আগুনে কয়েকজন নারী ও শিশু দগ্ধ হয়েছে বলে প্রত্যক্ষদর্শীরা উল্লেখ করেছেন।</t>
  </si>
  <si>
    <t>১৫ ফেব্রুয়ারি ২০২৪ মৌলভীবাজারের রাজনগরে নতুন নির্মিত ঠাকুরবাড়িতে প্রবেশ করে ভেতরের প্রতিমাসমূহ মাটিতে ফেলে দেয়</t>
  </si>
  <si>
    <t>মুসলিমদের ধর্মীয় সমাবেশে ভুলে ড্রোন হামলা, নিহত ৮৫</t>
  </si>
  <si>
    <t>ধর্মীয় অসহিষ্ণুতার বিরুদ্ধে কথা বলার জন্য বহু লেখক ও সাংবাদিক হুমকি ও আক্রমণের শিকার হন, যাদের মধ্যে এম. এম. কালবুর্গি ও গৌরি লঙ্কেশ উল্লেখযোগ্য।</t>
  </si>
  <si>
    <t>২০১৫ সালে চরনগরপুরে এক মসজিদের সামনে নামাজ চলাকালীন সময়ে একটি ভয়াবহ বোমা বিস্ফোরণ ঘটে, যাতে বহু মুসল্লি আহত হন।</t>
  </si>
  <si>
    <t>পছন্দের দুই মুখ একসাথে থাকলে যা হয় আর কি দুজনকে আল্লাহ তাআলা নেক হায়াত বাড়িয়ে দিক আমিন</t>
  </si>
  <si>
    <t>এক উগ্রপন্থী বন্দুকধারী দুটি মসজিদে হামলা চালিয়ে ৫১ জন মুসল্লিকে হত্যা করে, যা বিশ্বব্যাপী ইসলামবিদ্বেষের দৃষ্টান্ত হয়ে ওঠে।</t>
  </si>
  <si>
    <t>খ্রিস্টান ধর্মে বলা হয় যে, মানুষের হৃদয়ে ঈশ্বরের প্রেম থাকে, এবং এই প্রেমের মাধ্যমে আমরা একে অপরকে সহানুভূতি এবং ভালোবাসা দিয়ে সেবা করতে পারি, যাতে পৃথিবী একটি শান্তিপূর্ণ ও ঐক্যবদ্ধ স্থান হয়ে ওঠে।</t>
  </si>
  <si>
    <t>হিন্দুরা মুসলিম রাজনৈতিক উত্থানে অসহযোগিতা করে, নোয়াখালীসহ বিভিন্ন স্থানে তা স্পষ্ট হয়। মুসলিমদের একাংশ হিন্দু জমিদারদের বিরুদ্ধে ক্ষোভ প্রকাশ করে।</t>
  </si>
  <si>
    <t>আমাদের দেশ ধর্মীয় বৈষম্যহীন দেশ I এদেশের হিন্দু মুসলিম পাশাপাশি বসে খাওয়া দাওয়া করে এদেশের সব ধর্মের মানুষ পাশাপাশি বসবাস করে I সুতরাং, তিলকে তাল করে এদেশের হিন্দু মুসলিমের মাঝে সহনশীল ও সৌহার্দ্যপূর্ণ সম্পর্ককে প্রশ্নবিদ্ধ করবেন না I</t>
  </si>
  <si>
    <t>যে মেয়েগুলো আত্মহত্যা করে তাদের নিয়ে নানারকম কথা শোনা যায়। গায়ের রঙ কালো হওয়ায় বিয়ে হচ্ছেনা এরকম তুচ্ছ কারণেও এদেশে আত্মহত্যার ঘটনা ঘটেছে।</t>
  </si>
  <si>
    <t>২০১৯ সালের আগস্টে এক গোষ্ঠী ধর্মীয় গোষ্ঠী সংখ্যালঘুদের নাগরিকত্ব বাতিল করে, দারিদ্র্য ও অসুস্থতায় ৫৯ জন মারা যান।</t>
  </si>
  <si>
    <t>দিন গড়ানোর সঙ্গে সঙ্গে বিক্ষুব্ধ ধর্মীয় জনতা উত্তাল হয়ে ওঠে। পুলিশের সঙ্গে সংঘর্ষ ছাড়াও তারা মতিঝিলে একটি অফিসে আগুন দেয়, ধর্মীয় অনুভূতিতে আঘাতের অভিযোগে এই সহিংসতা ছড়িয়ে পড়ে।</t>
  </si>
  <si>
    <t>এক ধর্মীয় নেতার বিরুদ্ধে কিছু বলায় সাংবাদিককে হত্যা করা হয়, সেই ঘটনায় সহিংসতায় ১৭ জন প্রাণ হারান।</t>
  </si>
  <si>
    <t>২০১৭ সালে এক আন্তর্জাতিক সম্মেলনে ঘোষণা করা হয়েছিল বৌদ্ধ ধর্মের স্থাপনাগুলোতে বিদেশী পর্যটক বাড়ানোর উদ্যোগ নেয়া হবে।</t>
  </si>
  <si>
    <t>খ্রিস্টান মিশনারিরা ধর্মান্তরের নামে সমাজে বিভাজন সৃষ্টি করছে এবং ধর্মীয় সৌহার্দ্যকে বিনষ্ট করছে।</t>
  </si>
  <si>
    <t>২০০২ সালের শেরপুর দাঙ্গায় মুসলিম ও হিন্দু সম্প্রদায়ের মধ্যে সহিংসতার ফলে বহু নিরীহ মানুষ প্রাণ হারায়, যা ধর্মীয় বিদ্বেষের নির্মম পরিণতি।</t>
  </si>
  <si>
    <t>বাংলাদেশে বিভিন্ন ধর্মীয় সম্প্রদায়ের মধ্যে সংঘর্ষে বহু নিরপরাধ মানুষ প্রাণ হারিয়েছে, যা ধর্মীয় বিভক্তির এক জ্বলন্ত উদাহরণ।</t>
  </si>
  <si>
    <t>মিথ্যা ফেসবুক পোস্টে নির্দোষ হিন্দু রসরাজকে টার্গেট করে ভিন্ন ধর্মীয় উগ্রপন্থীরা দেশজুড়ে বিশৃঙ্খলা সৃষ্টি করেছে।</t>
  </si>
  <si>
    <t>২০১৬ সালে কুমিল্লার নাসিরনগরে ধর্ম অবমাননার গুজবে হিন্দুদের মন্দিরে এবং বাড়িঘরে হামলার ঘটনা ঘটেছিল।</t>
  </si>
  <si>
    <t>লাঠি এবং অস্ত্র হাতে হিন্দুরা একজন মুসলিমের গলায় দড়ি বেঁধে টেনে নিয়ে যাচ্ছে এমন একটি ছবি ওই পোস্টারে আঁকা ছিল যার শিরোনাম ছিল : হিন্দুস্থানের মুসলমানদের ওপর হিন্দুদের নির্যাতন।</t>
  </si>
  <si>
    <t>৩০ অক্টোবর মধ্যরাতের পরে প্রায় ২,০০০ মুসলিম ছুরি,লোহার রড, রাম দা,খোন্তা সহ বিভিন্ন ধরনের মারণাস্ত্রসহ কৈবল্যধাম মন্দিরের চারপাশের প্রায় ৩০০ হিন্দু বাড়িঘরের উপর উন্মত্তভাবে হামলে পড়ে এবং আগুন ধরিয়ে দেয়।</t>
  </si>
  <si>
    <t>কক্সবাজারের রামু উপজেলায় বৌদ্ধ ধর্মাবলম্বী এক যুবক অকল্পনীয় দুঃসাহস দেখিয়ে পবিত্র কুরআন শরীফ অবমাননা করেছে। ওই যুবক মহান আল্লাহ ও কাবা শরিফকে নিয়েও ধৃষ্টতা দেখিয়েছে।</t>
  </si>
  <si>
    <t>সারা বিশ্বের মুসলমানরা কুরআন পুরানো প্রতিবাদ করে কিন্তু আমাদের দেশের বানর থেকে বিবর্তন হওয়া সরকার মনে মনে খুব খুশি হয়েছে।</t>
  </si>
  <si>
    <t>২০০০ সালে উত্তরাঞ্চলে মুসলিম ও খ্রিস্টানদের মধ্যে সাম্প্রদায়িক সহিংসতা নিয়মিত ঘটে, যেখানে বহু গ্রাম পুড়িয়ে দেওয়া হয়েছে এবং</t>
  </si>
  <si>
    <t>মুসলিমদের কাছে আরবের মক্কা ও মদীনা ধর্মীয় তীর্থস্থান। সেই সাথে জেরুজালেমকেও পবিত্র নগরী মনে করেন।</t>
  </si>
  <si>
    <t>তিরাশি বছর আগে ১৯৩৭ সালে হিন্দু বিধবা সম্পত্তি আইনে স্বামীর বসত ভিটাতেই কেবল বিধবা নারীদের অধিকার দেওয়া হয়েছিল। এখন হাইকোর্টের এক রায়ের প্রেক্ষাপটে হিন্দু বিধবা নারীদের তার স্বামীর সব সম্পত্তিতে অধিকার প্রতিষ্ঠিত হবে। খুব প্রাসঙ্গিক ভাবেই হিন্দু নারীদের তার পিতার সম্পত্তিতে তাদের অধিকার নিশ্চিত করার বিষয়টিও আলোচনায় উঠে এসেছে।</t>
  </si>
  <si>
    <t>ধর্মীয় ভিন্নমত প্রকাশ করায় একজন ব্লগারকে প্রকাশ্যে কুপিয়ে হত্যা করা হয়; প্রতিবাদে ১৫ জন প্রাণ হারান।</t>
  </si>
  <si>
    <t>যখনই মন্দের মুখোমুখি হই, তখন ধর্মীয় গ্রন্থ পড়ে বা উপদেশ শুনে মন শান্তি পায়।</t>
  </si>
  <si>
    <t>কুষ্টিয়ায় ধর্মীয় দাঙ্গায় সংখ্যালঘু সম্প্রদায়ের ওপর হামলায় অন্তত ৩৯ জন নিহত হন।</t>
  </si>
  <si>
    <t>প্রতিমা ভাঙচুরের এই ঘটনাটি আসলে দুঃখজনক। এ ধরনের ঘটনা যাতে ভবিষ্যতে না ঘটে এজন্য আইনশৃঙ্খলা বাহিনী প্রয়োজনীয় পদক্ষেপ নেবে বলে আশা করি। এ ছাড়া সবাইকে সজাগ থাকতে হবে।</t>
  </si>
  <si>
    <t>পীরগঞ্জের সহিংসতায় ৬৬টি পরিবার ক্ষতিগ্রস্থ; মুসলমানদের বিরুদ্ধে বাড়ি, দোকান পুড়ানো, মন্দির ভাঙচুর ও সম্পদ লুট হয়েছে।</t>
  </si>
  <si>
    <t>লজ্জা থাকা দরকার আমাদের কিছু নামধারী মুসলিমদের যারা দলের জন্য ধর্মের গুরুত্ব ভুলে গেছে এবং ধর্মীয় ভাইদের উপর আক্রমণ করেছে!</t>
  </si>
  <si>
    <t>হিন্দু সম্প্রদায়ের কিছু অংশ ধর্মীয় গোঁড়ামি দেখিয়ে অন্য ধর্মাবলম্বীদের অবজ্ঞা করে যা সাম্প্রদায়িক দাঙ্গার কারণ হতে পারে।</t>
  </si>
  <si>
    <t>আমি কখনো মূর্খ হিন্দুর সাথে তর্ক করি না, যার ভাষা ব্যবহার ঠিক নাই তার জ্ঞান কতটুকু হবে তা আমার জানা নাই।</t>
  </si>
  <si>
    <t>বৈধভাবেই মসজিদের জমিতে মসজিদ নির্মাণ হয়েছিল, কোনো সাম্প্রদায়িক বৈষম্য এখানে পরিলক্ষিত নয়। ইনশাআল্লাহ আবারো হবে।</t>
  </si>
  <si>
    <t>ধর্মের শিক্ষা এবং অনুশাসন মানুষকে সঠিক পথে পরিচালিত করে। এটি তাকে জীবনে সঠিক সিদ্ধান্ত গ্রহণে সহায়তা করে, যা তাকে জীবনের দিকে এগিয়ে নিয়ে যায়।</t>
  </si>
  <si>
    <t>ছোটবেলায় সবাই মিলে খেলতাম, স্কুলে যেতাম এবং ধর্মীয় নয়, সামাজিক উৎসব হিসেবে ঈদ ও পূজো পালন করতাম। মসজিদে শিরনী ও মন্দিরে প্রসাদ খেতাম।</t>
  </si>
  <si>
    <t>এখানকার কূয়া থেকে পানি পান করা হয়। এরপর বাহিনীটি ফারশ মিলালের সমভূমির মধ্য দিয়ে অগ্রসর হয়। এরপর মুসলিমরা ইয়ামামার ছোট পার্বত্য অঞ্চল পেরিয়ে ইয়ানবুর সমভূমির মধ্য দিয়ে উশাইরা পৌছে।[৩][৪] তারা সেখানে হামালার পরিকল্পনা করে।</t>
  </si>
  <si>
    <t>বৌদ্ধরা তাঁদের ধর্মের রীতি পালনের জন্য নেড়া হতেন সেজন্য তাঁদের কটাক্ষ করে ‘নেড়ে’ বলা হত। এই বৌদ্ধ ধর্মাবলম্বীরা ইসলামের ধর্মান্তরিত হলে সেইসব ধর্মান্তরিত বৌদ্ধদের সাথে সাথে মুসলিমদেরকেও ‘নেড়ে’ বলা হতে থাকে।</t>
  </si>
  <si>
    <t>ধর্মীয় অনুশাসন মেনে চললে ঈমান শক্তিশালী হয় এবং জীবনের পরীক্ষায় সফল হওয়া সম্ভব।</t>
  </si>
  <si>
    <t>এক মন্দিরে প্রার্থনা চলাকালে হামলা চালিয়ে বহু নারী-শিশুকে হত্যা করে, হামলাকারীরা ধর্মের নামে ন্যায্যতা দাবি করে; নিহত ৪৪ জন।</t>
  </si>
  <si>
    <t>হিন্দু দর্শনে ‘অহিংসা পরম ধর্ম’ বলে বিবেচিত। এর অর্থ কারো প্রতি বিদ্বেষ না রেখে, সব জীবের মঙ্গল কামনা করা।</t>
  </si>
  <si>
    <t>ফেইসবুকে ধর্মীয় পোস্ট করা মানে নিজেকে কঠোর ধার্মিক প্রকাশ করা নয়। সনাতন ধর্মের বার্তা কে সবার মধ্যে ছড়িয়ে দেওয়া।</t>
  </si>
  <si>
    <t>"তিনি মনেপ্রাণে ইসলামের পথে থাকার প্রতিজ্ঞা করেন এবং তার বিশ্বাসকে আরও দৃঢ় করতে স্বেচ্ছায় নিজের গিটার ত্যাগ করেন।</t>
  </si>
  <si>
    <t>চট্টগ্রামের পটিয়ায় এক ধর্মীয় অনুষ্ঠানের সময় সংখ্যালঘু সম্প্রদায়ের উপাসনালয়ে ঢুকে সাউন্ড সিস্টেম ও আসবাবপত্র ভাঙচুর করে একদল দুর্বৃত্ত।</t>
  </si>
  <si>
    <t>এক হিন্দু শিক্ষার্থী ফেসবুকে ভুল ছবি পোস্ট করায় মন্দির ও বাড়িতে হামলা হয়, তার পরিবার পালিয়ে বাঁচে, অথচ পরে পোস্টটি ছিল ভুয়া। মোট নিহত: ৯ জন।</t>
  </si>
  <si>
    <t>মহান আল্লাহ যদি আমাকে ক্ষমা করেন, তাঁর অপার অনুগ্রহ দান করেন, তবে অবশ্যই আমি আমার প্রিয়তম আম্মার সাথে, তাঁর স্নেহছায়ায় জান্নাতে থাকতে চাই। (রাব্বির হামহুমা কামা রাব্বায়ানি সগীরা)।</t>
  </si>
  <si>
    <t>শরীয়তপুরে ইমাম পরিবর্তনকে কেন্দ্র করে দুইপক্ষের মধ্যে মারামারি হয়, পরে মসজিদ ভাঙচুর করে প্রতিপক্ষ।</t>
  </si>
  <si>
    <t>এক ধর্মীয় গোষ্ঠীর হামলায় একটি শিশু স্কুল ভেঙে পড়ে, ১১ জন নিহত হয়।</t>
  </si>
  <si>
    <t>কিছুদিন পরপর এখানে যারা অশান্তি সৃষ্টি করে সম্প্রীতি নষ্ট করতে চায় তাদের চিহ্নিত করে কঠিন শাস্তির আওতায় আনতে হবে । মুসলমানরা শান্তিতে বিশ্বাসী, যারা কুরআন অবমাননা করে দাঙ্গা লাগানোর চেষ্টা করছে তাদের অনতিবিলম্বে গ্রেফতারপূর্বক বিচার করা হোক ।</t>
  </si>
  <si>
    <t>একাধিকবার একই অপরাধ সংগঠিত করলে সাজার পরিমাণ এ সাজার দ্বিগুণ। যা অপরাধের তুলনায় অত্যন্ত নগণ্য ও অপ্রতুল বিধায় কেউ কেউ মহানবীসহ ধর্মীয় অনুভূতিতে আঘাত দিয়ে ইতোপূর্বে নানা ধরনের মন্তব্য ও কটূক্তি করেছে এবং করে আসছে। যদিও তা কোরআন, হাদিস, সুন্নাহ ও সংবিধান বিরোধী।</t>
  </si>
  <si>
    <t>ঠাকুরগাঁওয়ে একটি গির্জার প্রবেশপথে “ধর্মীয় মিথ্যা” লেখা পোস্টার সাঁটানো হয় এবং রাতের অন্ধকারে গির্জার জানালার কাচ ভেঙে দেয় দুর্বৃত্তরা।</t>
  </si>
  <si>
    <t>ঢোল বাজালে বোমা মেরে পূজামণ্ডপ উড়িয়ে দেওয়ার হুমকি দেওয়া হয়েছে।</t>
  </si>
  <si>
    <t>জামায়াত ও বিএনপি সরকারের বিরুদ্ধে দাঙ্গা এবং সংখ্যালঘু ও পুলিশদের ওপর হামলা হয়। এতে হাজারো হিন্দু বাড়িঘর ও মন্দির ধ্বংস হয়। এই হামলা জাতীয় ও আন্তর্জাতিকভাবে সমালোচিত হয়।</t>
  </si>
  <si>
    <t>নড়াইলের হিন্দু-মুসলিম দাঙ্গায় অন্তত ৩১ জন নিহত হন এবং ব্যাপক ধ্বংসযজ্ঞ ঘটে।</t>
  </si>
  <si>
    <t>তারা ঘোষপাড়া, মুদকপাড়া, বাউলপাড়া, পাইত্তালপাড়া সহ প্রতিটি হিন্দু বাড়িতে আক্রমণ ও লুটপাট করে, আগুনে জ্বালিয়ে দেয়। নারায়ণগঞ্জে ৩,৫০০ হিন্দু হত্যা, ৩০০ নারী ধর্ষণ এবং ৩১,০০০ বাড়ি পুড়িয়ে ফেলা হয়। ১৫১টি গ্রামের ৮০,০০০ হিন্দু আশ্রয়হীন হয়।</t>
  </si>
  <si>
    <t>দুঃখজনকভাবে, দেশের এই নেকাব খুলে দেয়া কিছু মুসলিম শিক্ষকরাও এ ধরনের ঘটনা ঘটাতে লিপ্ত হচ্ছেন, যা ইসলামের মূল্যবোধ ও শিক্ষা বিপথগামী করছে।</t>
  </si>
  <si>
    <t>এক সংখ্যালঘু ধর্মীয় গোষ্ঠীর উপাসনালয়ে আগুন ধরিয়ে দেয়া হয়, ফলে দগ্ধ হয়ে অন্তত ৩২ জন নিহত হন।</t>
  </si>
  <si>
    <t>হিন্দু বৌদ্ধ খ্রিষ্টান ঐক্য পরিষদের পরিসংখ্যানে ২০১০টি সাম্প্রদায়িক সহিংসতার ঘটনা ঘটেছে বলে দাবি করা হয়েছে। সমকালের অনুসন্ধানে ২৯৬টি অভিযোগের মধ্যে ১৩৫টির সত্যতা মিলেছে। তবে তালিকায় নাম আসেনি এমন অনেক হিন্দু পরিবার নির্যাতিত হয়েছে</t>
  </si>
  <si>
    <t>সনাতন ধর্মালম্বী অভিশ্রুতি শাস্ত্রীকে পূজার্চনার পর নির্মমভাবে হত্যা করা হয়। রমনা কালী মন্দির ও ঢাকেশ্বরীতে নিয়মিত আসা তরুণীর মৃত্যুতে ধর্মীয় সহিংসতার শিকার হওয়ার আশঙ্কা জোরালো হয়েছে।</t>
  </si>
  <si>
    <t>কিন্তু এই রমজান বা ইফতারকে কেন্দ্র করে যেন কোন উগ্র ধর্মান্ধ গোষ্ঠী বিষয়টিকে ভিন্ন দিকে নেওয়ার চেষ্টা করতে না পারে তাই ঐসকল ব্যাক্তিদের আলোচনা সভা যা রাজনৈতিক উদ্দেশ্য প্রসূত এবং তাকে ধর্ম দ্বার উদ্ধারের চেষ্টা করা হচ্ছে সেই বিষয়টাকে নিয়ন্ত্রণ করার চেষ্টা করা হচ্ছে।</t>
  </si>
  <si>
    <t>হিন্দুদের উপর ধর্মীয় বিদ্বেষমূলক হামলায় ইসলামপুরের ঢাপঢুপ বিলপাড়ের আমবাগানে আশ্রয় নেয়া নিরীহ মানুষদের উপর বর্বরোচিত নির্যাতন চালানো হয়েছিলো উগ্র গোষ্ঠীর হাতে।</t>
  </si>
  <si>
    <t>ঈমানী দুর্বলতার কারণ-ঈমানী পরিবেশ থেকে দীর্ঘদিন দূরে থাকা। সৎ ও অনুকরণযোগ্য ব্যক্তি হতে দূরে থাকা। শরীয়তী জ্ঞান ও ঈমানী বই হতে দূরে থাকা। গুনাহগারদের মাঝে অবস্থান করা। দুনিয়ার মোহে মগ্ন হওয়া।</t>
  </si>
  <si>
    <t>পুরা ঢাকা বিশ্ববিদ্যালয় তৈরি করা হইসিলো ভাটি অঞ্চলের মুসলমানদের জন্য, যা সমাজের বৈচিত্র্যকে সম্মান জানিয়ে একত্রিত করেছে।</t>
  </si>
  <si>
    <t>২০১৬ সালের নভেম্বর মাসে এক ধর্মীয় গোষ্ঠী ধর্মীয় অনুভূতিতে আঘাত দেয়ার অভিযোগে এক শিল্পীর প্রদর্শনীতে হামলা চালিয়ে তাকে মারাত্মক আহত করে, এতে আরও ১৪ জন নিহত হন।</t>
  </si>
  <si>
    <t>ঝিনাইদহে ধর্মীয় গোষ্ঠীর সংঘর্ষে ৩২ জন নিহত হয়; নিরাপত্তা ব্যবস্থা জোরদার করা হয়।</t>
  </si>
  <si>
    <t>নড়াইলের লোহাগড়া উপজেলার দিঘলিয়া ইউনিয়নের কয়েকটি হিন্দু পাড়া, বাজার ও মন্দিরে হামলা, লুটপাট ও আগুনের ঘটনা ঘটে শুক্রবার রাত ৮ টার দিকে৷ দুর্বৃত্তরা সাহা পাড়ার গোবিন্দ সাহার বাড়িটি পুরোপুরি পুড়িয়ে দিয়েছে৷ আরো চার-পাঁচটি বাড়িতে হামলা ও আগুন দিয়েছে৷</t>
  </si>
  <si>
    <t>২০১৬ সালের ১ জুলাই, ঢাকার গুলশানে হলি আর্টিজান বেকারিতে জঙ্গি হামলায় ২০ জন নিহত হন, যাদের অধিকাংশই বিদেশি নাগরিক।</t>
  </si>
  <si>
    <t>নোয়াখালী জেলার বেগমগঞ্জ উপজেলার ছয়আনি বাজারের ২০২১ সালের ১৪ অক্টোবর বৃহস্পতিবার রাতে একটি পূজামণ্ডপে হামলা ও আগুন লাগানো হয়।[৩৭] পরের দিন ১৫ই অক্টোবর চৌমুহনীতে জুমার নামাজের পর মিছিলকারীরা 'তৌহিদী জনতা' ব্যানার নিয়ে হামলার উদ্দেশ্যে মিছিল করে। মিছিলটি সেখানকার কলেজ রোডে হামলা করে। পুলিশ মিছিলকারীদের বাধা প্রদান করলে সংঘর্ষ শুরু হয়।</t>
  </si>
  <si>
    <t>আল্লাহ তুমি ইসলামকে হেফাজত করো,,ইসলামের প্রতিটা মুসলিমকে হেফাজত দান করো এবং ইসলামের কোরআনকে হেফাজত করো,</t>
  </si>
  <si>
    <t>তাকে জান্নাত জাহান্নাম দেবে সেটা সম্পূর্ণ আল্লাহর হাতে কিন্তু আমি দোয়া করতেছি আল্লাহ যেন তাকে চিরস্থায়ী জাহান্নামে দেন এবং দুনিয়াতেও তার শাস্তি ভোগ করে যায়</t>
  </si>
  <si>
    <t>১৩ ডিসেম্বর ২০২৩ ভোলা সদর উপজেলায় শিবমন্দিরে ঢুকে শিবলিঙ্গের মাথায় হাতুড়ির আঘাত করে তা চূর্ণ করে দেয়</t>
  </si>
  <si>
    <t>ত্রিনিদাদ ঐপনিবেশিক শাসন থেকে স্বাধীন হওয়ার পর আফ্রিকান-ভিত্তিক পিপলস ন্যাশনাল মুভমেন্ট দলের দ্বারা হিন্দুদের প্রান্তিকে পরিণত করা হয়। বিরোধী দল পিপলস ডেমোক্রেটিক পার্টিকে হিন্দুদের প্রতি সহানুভূতিশীল হওয়ায় "হিন্দু গোষ্ঠী" হিসেবে চিত্রিত করা হয়। হিন্দুদেরকে নানা ভাবে হেনস্তা করা করা হয়।</t>
  </si>
  <si>
    <t>খ্রিস্টান মিশনারিরা ধর্মান্তরের নামে ধর্মীয় ঐক্য নষ্ট করছে এবং সমাজে সংঘাতের সৃষ্টি করছে।</t>
  </si>
  <si>
    <t>২০১৯ সালের অক্টোবর মাসে এক গোষ্ঠী ধর্মীয় উগ্রবাদীরা মেয়েদের খেলাধুলা নিষিদ্ধ করে, যারা খেলতে যায় তাদের ওপর সহিংসতা চালিয়ে ১৩ জন নিহত করে।</t>
  </si>
  <si>
    <t>আল্লাহ কুরআনে বলেছেন যে, তিনি সমস্ত সৃষ্টির স্রষ্টা, এবং তাঁর পক্ষ থেকে যা নির্দেশনা এসেছে তা মানবতার কল্যাণে সর্বোত্তম।</t>
  </si>
  <si>
    <t>চুয়াডাঙ্গায় মসজিদের পাশে গির্জা নির্মাণের প্রতিবাদে হুমকি দিয়ে নির্মাণ সামগ্রী পুড়িয়ে ফেলে স্থানীয়রা।</t>
  </si>
  <si>
    <t>হিন্দু মুসলিম একসাথে শান্তিপূর্ণভাবে বসবাস করলে সমাজে একে অপরের সংস্কৃতি এবং ধর্মীয় বিশ্বাসের প্রতি শ্রদ্ধা এবং সমঝোতা প্রতিষ্ঠিত হয়, যা শান্তি ও সৌহার্দ্যকে উৎসাহিত করে।</t>
  </si>
  <si>
    <t>পুলিশ ব্যবস্থা না নেয়ায় এলাকায় উত্তেজনা, যা রক্তক্ষয়ী সাম্প্রদায়িক দাঙ্গায় রূপ নিতে পারে।</t>
  </si>
  <si>
    <t>বহু হিন্দুদের মন্দির ভাঙা হয়েছে, বাড়িঘরে আগুন লাগানো হয়েছে, ধর্মের কারণে তারা নির্যাতিত হয়ে দেশ ছাড়তে বাধ্য হয়েছে।</t>
  </si>
  <si>
    <t>জয়পুরহাটে পুরোহিতকে অপহরণ করে জিজ্ঞাসাবাদ করা হয় ধর্মান্তরিত করার অভিযোগে, পরে মন্দিরে হামলা চালানো হয়।</t>
  </si>
  <si>
    <t>আলহামদুলিল্লাহ অনেক সুন্দর করে বুঝিয়েছেন আল্লাহ আপনি এনাকে ইসলাম প্রচার করার জন্য কবুল করুন আর মেধা শক্তি আরো বৃদ্ধী করেদিন আমিন</t>
  </si>
  <si>
    <t>মাদারীপুরে শারদীয়া উৎসবের সময় প্রতিমা গড়ার কাঁচামাল পুড়িয়ে দেয়া হয়, কাজ সম্পূর্ণ বন্ধ করতে হয়।</t>
  </si>
  <si>
    <t>আমরা সবাই এর বিচার চাই চাই বলে এখন চিল্লা ফাল্লা করছি, তাহলে একে মারলো কে? ধর্মের নামে উগ্রবাদ এই দেশ থেকে বন্ধ করতে হবে।</t>
  </si>
  <si>
    <t>রাষ্ট্র-অনুমোদিত কার্য্যক্রমের আকার নিয়েছে। [২][৩] ১৯৫০ সাল থেকে শুরু হওয়ার পর ১৯৫৪ সাল থেকে ১৯৮২ সালের মধ্যে সাম্প্রদায়িক সহিংসতার ঘটনাবলীতে হিন্দু-মুসলিম সাম্প্রদায়িক সহিংসতায় প্রায় ১০০০০ মুসলিম নিহত হয়েছেন। [৪]</t>
  </si>
  <si>
    <t>নড়াইলে ধর্ম অবমাননার অভিযোগ তুলে অধ্যক্ষকে জুতার মালা পরানোর পর এবার একই অজুহাতে ওই এলাকার দিঘলিয়ায় হিন্দুদের বাড়িঘর ও মন্দিরে আগুন এবং হামলার ঘটনা ঘটেছে৷</t>
  </si>
  <si>
    <t>তালেবান শাসনে সমপতন আইন ২০০১ সালে পাস করা হয়েছিল যাতে হিন্দুদের চিহ্নিত করতে জনসমক্ষে হলুদ ব্যাজ পরতে বাধ্য করা হয়।</t>
  </si>
  <si>
    <t>গীতা পাঠ করুন ঈশ্বরের বানী মানব তথা সকল জীবের মুক্তির পথ হিসেবে। আর বেদ হল সনাতন তথা হিন্দুদের ঈশ্বরকে জানার প্রধান মাধ্যম।</t>
  </si>
  <si>
    <t>ধর্মের নামে সমাজের মাঝে অত্যাচার, অবমান এবং ভাঙ্গা নৈতিকতার বিরুদ্ধে সামঞ্জস্য প্রতিষ্ঠা করা উচিত নয়। ধর্মের শক্তি মানবতাকে প্রতিষ্ঠিত করা উচিত।</t>
  </si>
  <si>
    <t>বিউটি রাণী মণ্ডল বলেন. "শুক্রবার বিকেলে মুখে মুখে ফেসবুক পোস্টে ইসলামের অবমাননার অভিযোগ ছড়ানো হয়। "এর অল্প সময় পরই সন্ধ্যায় সাত-আটশো লোক এসে হামলা করে। হামলাকারীদের মধ্যে অনেক তরুণ এবং মাদ্রাসার অনেক ছাত্র ছিল। অনেক বয়স্ক মানুষও ছিল" - বলেন তিনি।</t>
  </si>
  <si>
    <t>চক্রটির ব্যাপারে তথ্য আমরা স্বরাষ্ট্র মন্ত্রণালয়কে কয়েকবার দিয়েছি কিন্তু কোনো কাজ হয়নি৷ আর পুলিশ প্রশাসন আগাম তথ্য পেয়েও কোনো হামলা বন্ধেই আগাম কোনো ব্যবস্থা নেয়নি৷'' তিনি বলেন, ‘‘এরা বাংলাদেশ থেকে হিন্দুদের তাড়িয়ে দিতে চায়৷ রাজনৈতিক ফায়দা, হিন্দুদের সম্পদ দখল করতে চায়৷</t>
  </si>
  <si>
    <t>২০১৭ সালের জানুয়ারিতে এক গোষ্ঠী ধর্মীয় গোষ্ঠীর মধ্যে সংঘর্ষে ২৪ জন নিহত হয়; বেশ কয়েকজন গুরুতর আহত হয়।</t>
  </si>
  <si>
    <t>১৯৪৬ এর শেষ ভাগে পূর্ববঙ্গের (বর্তমান বাংলাদেশ) নোয়াখালী এবং ত্রিপুরা জেলার বাঙালী হিন্দুরা ধারাবাহিক ভাবে নির্মম গনহত্যা, ধর্ষণ, লুটপাট, অগ্নিসংযোগ, ধর্মান্তরকরণের শিকার হয় মুসলিমদের দ্বারা, যা নোয়াখালী দাঙ্গা নামে পরিচিত।</t>
  </si>
  <si>
    <t>এই দেশে নাস্তিকদের থেকেও ইসলামের বড় শত্রু হলো ইসলামের নামে লেবাসধারী সেকুলারকুল।রাবিশ,খবিশ।</t>
  </si>
  <si>
    <t>ব্লাসফেমি: কী করলে ধর্মীয় অবমাননা হয়? আইনে কী আছে? শাস্তি কি?</t>
  </si>
  <si>
    <t>নওয়াপাড়ায় ধর্মীয় গোষ্ঠীর সংঘর্ষে ৪৩ জন নিহত হয়; পুলিশের গুলিতে বহু মানুষ আহত হয়।</t>
  </si>
  <si>
    <t>ফেব্রুয়ারিতে ধর্মীয় বিদ্বেষের জেরে ফেনীতে সংবাদকর্মীর পরিবারের সদস্য ডাঃ ধীরেন্দ্র দত্তকে ছুরি দিয়ে নির্মমভাবে হত্যা করা হয়।</t>
  </si>
  <si>
    <t>১৫ ফেব্রুয়ারি শিবরাত্রির দিন তীর্থযাত্রীরা সীতাকুন্ডের চন্দ্রনাথ মন্দিরে যায়। তবে ১০ ফেব্রুয়ারি থেকে পূর্ববাংলায় হিন্দু গণহত্যা শুরু হয় এবং ১২ ফেব্রুয়ারি চট্টগ্রামে ছড়িয়ে পড়ে। প্রশাসন হিন্দুদের মেলা বন্ধ করার হুমকি দেয়।</t>
  </si>
  <si>
    <t>কোরআনে উল্লেখ আছে যে লুত (আ:) এর জাতির ঘটনার মাধ্যমে সমকামিতার বিষয়ে শিক্ষা দেওয়া হয়েছে। জ্ঞান অর্জন করা অত্যন্ত মূল্যবান, আর কোরআনের মর্ম বোঝার চেষ্টা করাও গুরুত্বপূর্ণ।</t>
  </si>
  <si>
    <t>রাজবাড়ীতে একটি মসজিদের অজুখানা ভেঙে ফেলা হয় এবং ভেতরে অশ্লীল চিঠি ফেলে যায় দুর্বৃত্তরা।</t>
  </si>
  <si>
    <t>১৯৯২ সালে বাবরি মসজিদ ধ্বংসের কারণে বোম্বাই দাঙ্গা শুরু হয়, যেখানে পুলিশের গুলিতে আনুমানিক ৯০০ জন নিহত, ২,০৩৬ জন আহত এবং হাজার হাজার বাস্তুচ্যুত হয়।</t>
  </si>
  <si>
    <t>তারা বৌদ্ধ ধর্মীয় স্থাপনা ও মূর্তি ভাঙচুর করে, বৌদ্ধ সম্প্রদায়ের সাংস্কৃতিক সম্পদ বিনষ্ট করেছে।</t>
  </si>
  <si>
    <t>কট্টর ধর্মবাদী কারা তা পোস্ট দেখেই বোঝা যাচ্ছে ৷ ছেলেটি কখনো ধর্মকার্ড, সিমপ্যাথী কার্ড খেলেনাই মেয়েটির মতো ৷</t>
  </si>
  <si>
    <t>কয়েক হাজার হিন্দু সম্প্রদায়ের মানুষ জোরপূর্বক উৎখাত হয় এবং অনেকে নিহত হন, যা বিতর্কিত বিষয়।</t>
  </si>
  <si>
    <t>আমার ধর্ম এও শিক্ষা দেয় ধর্ম নিয়ে বাড়াবাড়ি করা নিষিদ্ধ। প্রত্যেকের নিজ ধর্ম পালন করার অধিকার আছে। কারো ধর্ম নিয়ে বিরূপ মন্তব্য করা বা নিজ ধর্ম অন্যের ওপর চাপিয়ে দেয়া অন্যায়।</t>
  </si>
  <si>
    <t>২০০৫-০৬ সালে কাজাখ সরকার আলমাটির কাছে আন্তর্জাতিক কৃষ্ণভাবনামৃত সংঘের আশ্রম ও সদস্যদের বাড়ি জোর করে উচ্ছেদ করে। সম্প্রদায়ের সদস্যদের বিভিন্নভাবে হয়রানি করা হয়।</t>
  </si>
  <si>
    <t>১৯৯২ সালের ৬ই ডিসেম্বর ছিল রবিবার। সেদিন অযোধ্যায় জড়ো হওয়া কয়েক লক্ষ উগ্র হিন্দুত্ববাদী সাড়ে চারশো বছরের বেশি সময় আগে স্থাপিত বাবরি মসজিদ ভেঙ্গে ফেলে। তাদের ঠেকাতে গিয়ে পুলিশের সঙ্গে সংঘর্ষে হতাহত হন কয়েক শত হিন্দুত্ববাদী কর্মী।</t>
  </si>
  <si>
    <t>গাজীপুরের একটি মন্দিরে আগুন লাগিয়ে কাঠের তৈরী লক্ষ্মী-সরস্বতীর প্রতিমা পুড়িয়ে ফেলা হয়।</t>
  </si>
  <si>
    <t>ঢাকা বিশ্ববিদ্যালয়ে কি মুসলিম ছাত্ররা পড়েনা? তারা চুপ কেন? নাকি কোনো রাজনৈতিক দলের ভয়ে তারা গা এড়িয়ে চলছে?</t>
  </si>
  <si>
    <t>৩ জুলাই ২০২৪ খুলনার ডুমুরিয়ায় একটি প্রাচীন বিষ্ণুমন্দিরে রাতের অন্ধকারে প্রতিমার চোখ উপড়ে ফেলা হয়</t>
  </si>
  <si>
    <t>২০১৬ সালে উগ্রপন্থী গোষ্ঠীগুলো বগুড়ায় এক হিন্দু পুরোহিতকে হত্যা করে, যা ধর্মীয় সংখ্যালঘুদের বিরুদ্ধে সহিংসতার অংশ ছিল।</t>
  </si>
  <si>
    <t>বাংলাদেশে মুসলমানদের দেশ বলতে লজ্জা লাগে, কেননা কিছু নামদারি মুসলিম আছে যাদের কারণে বারবার অন্যায় করে পার পেয়ে যায়। কেন এখনো তাদেরকে আইনের আওতায় আনা হলো না।</t>
  </si>
  <si>
    <t>পাঁচ হাজারের বেশি বা প্রায় ২০ হাজার উগ্রপন্থী লাঠিসোটা নিয়ে হিন্দুদের উপর হামলা করে। হিন্দুদের বাড়িঘর, ব্যবসা প্রতিষ্ঠানে লুটপাট করা হয়। তাদের বাড়ি-ঘর ভেঙে ফেলা হয়।</t>
  </si>
  <si>
    <t>পৃথিবীর বিভিন্ন দেশে কমবেশি হলেও ধর্মীয় সম্প্রীতি নষ্ট হতে দেখা যায়। সাম্প্রদায়িক সম্প্রীতি নষ্ট হচ্ছে। ধর্মে ধর্মে আঘাত, হানাহানি, মারামারি ও প্রতিবন্ধকতামূলক কর্মসূচি দেখতে পাওয়া যায়।</t>
  </si>
  <si>
    <t>জৈন ধর্মের মূল শিক্ষা অহিংসা, অর্থাৎ সব জীবের প্রতি দয়া ও সদয় মনোভাব, যা শান্তি ও সমৃদ্ধি নিশ্চিত করে।</t>
  </si>
  <si>
    <t>কুড়িগ্রামে সংখ্যালঘু হিন্দুদের ওপর হামলায় অন্তত ৩৯ জন নিহত হন। হামলাকারীরা তাদের বাড়িঘর ও মন্দির পুড়িয়ে দেয়। নিরাপত্তা বাহিনী দ্রুত ব্যবস্থা নিতে ব্যর্থ হয়।</t>
  </si>
  <si>
    <t>গতকাল ছিল ১৬ই আগস্ট। ৭৮ বছর আগের ইতিহাস। অধিকাংশ হিন্দু হয়তো জানলোই না দিনটির প্রাসঙ্গিকতা বর্তমান প্রজন্মের কাছে। তাই কফিনে বন্ধ এই ইতিহাসের পুনর্মূল্যায়ন একান্ত প্রয়োজন। মুসলিম লীগ ও বামপন্থীদের যৌথ উদ্যোগে খোদ কলকাতার রাজপথ রক্তাক্ত হয়ে উঠেছিল।</t>
  </si>
  <si>
    <t>ইসলাম অবমাননা করির উচিত শিক্ষা দিতে মুসলিম বিশ্বকে জেগে উঠতে হবে, যারা কোরআন অপমান করে তাদের দমন কর হে আল্লাহ।</t>
  </si>
  <si>
    <t>গোপালগঞ্জে ধর্মান্তর রোধে হিন্দু যুবকের বাড়ি ঘেরাও করে ধর্মীয় নেতারা, পরে পণ্ডিতকে মারধর করা হয়।</t>
  </si>
  <si>
    <t>সরকার-সমর্থিত বাহিনী মায়ান ধর্মাবলম্বী আদিবাসীদের উপর ব্যাপক হত্যাযজ্ঞ চালায়, যার ফলে হাজার হাজার মানুষ নিহত হন।</t>
  </si>
  <si>
    <t>ধর্ম অবমাননার অভিযোগে মুন্সীগঞ্জের একটি স্কুলের বিজ্ঞান শিক্ষক হৃদয় চন্দ্র মণ্ডলকে আটকের ঘটনায় উদ্বেগ জানিয়েছে আন্তর্জাতিক মানবাধিকার সংগঠন অ্যামনেস্টি ইন্টারন্যাশনাল।</t>
  </si>
  <si>
    <t>দাড়ি ছোট থাকলে লম্বা করুন। খোঁচা দাড়ি অন্য ধর্মের লোকেরাও রাফ দেখানোর জন্য রাখে।</t>
  </si>
  <si>
    <t>অনুসন্ধান করলে দেখা যাবে, যারা আত্মহত্যা করছে তাদের মধ্যে ধর্মীয় কোনো শিক্ষা নেই। থাকলেও অপ্রতুল।</t>
  </si>
  <si>
    <t>যশোর পূজা উদযাপন পরিষদের নেতাকে মারধর</t>
  </si>
  <si>
    <t>ধর্মীয় সম্প্রীতি নষ্ট করার পূর্ব পরিকল্পিত ষড়যন্ত্রের প্রতি নিন্দা জানানোর ভাষা নেই! পবিত্র কুরআন অবমাননা করে শান্তিপ্রিয় মুসলিম দের উসকানি দেয়ার নেপথ্যে কারা খুঁজে বের করা হোক।</t>
  </si>
  <si>
    <t>যুদ্ধ শেষ হওয়ার পর গণহত্যার স্থানটি গ্রামবাসীরা চিহ্নিত করে। কিন্তু অদ্যাবধি বধ্যভূমিতে কোনো স্মৃতিচিহ্ন স্থাপন করা হয়নি কিংবা গণহত্যার শিকার ব্যক্তিদের নাম খুঁজে বের করা হয়নি।</t>
  </si>
  <si>
    <t>ধর্মীয় শিক্ষা মানুষকে শুধু ইবাদত শেখায় না, বরং অন্যকে সম্মান করা, সহানুভূতিশীল হওয়া ও সৎভাবে জীবন যাপন করতে শেখায়।</t>
  </si>
  <si>
    <t>স্রষ্টা রাগ করে ধ্বংস করেন না; বরং আমরা আমাদের মতবাদ প্রতিষ্ঠার জন্য তার সৃষ্টি ধ্বংস করছি।</t>
  </si>
  <si>
    <t>নূরানী জামে মসজিদ একটি রাজনৈতিক সমাবেশ চলাকালীন ধ্বংস হয়ে যায়, যা ১৯৯২ সালের ডিসেম্বর দাঙ্গায় রূপান্তরিত হয়।</t>
  </si>
  <si>
    <t>ফেনীর তৎকালীন হিন্দু অধ্যুষিত এলাকাগুলো যেমন মাস্টারপাড়া, উকিলপাড়া, ডাক্তারপাড়া, সহদেবপুর, বারাহীপুর, সুলতানপুরের হিন্দুদের উপর মুসলিমরা আক্রমণ করে এবং তাদের বসতভিটে জ্বালিয়ে দেয়। গুরুদাস কর নামের হিন্দুসম্প্রদায়ের একজন প্রভাবশালী ব্যক্তিকে মুসলিমরা হত্যা করে।</t>
  </si>
  <si>
    <t>২০১৮ সালের এপ্রিল মাসে এক গোষ্ঠী ধর্মীয় অনুভূতিতে আঘাত দেওয়ার অভিযোগে শিল্পীর প্রদর্শনীতে হামলা চালানো হয়; ১৩ জন নিহত হন।</t>
  </si>
  <si>
    <t>আমাদের অনেক শ্রদ্ধেয় শিক্ষক আছেন যারা অন্য ধর্মাবলম্বী এবং তাদের কাছ থেকে কখনো খারাপ মন্তব্য পাইনি।</t>
  </si>
  <si>
    <t>ধর্মের ব্যাখ্যা অপব্যাখ্যা দিয়ে কতো অন্যায় কে বৈধকরে নিচ্ছি।</t>
  </si>
  <si>
    <t>কুষ্টিয়ার কুমারখালীর গ্রামের বাড়ি থেকে ধর্মীয় অনুভূতিতে আঘাতের অভিযোগে করা মামলায় কয়া চাইল্ড হ্যাভেন বালিকা বিদ্যালয়ের প্রধান শিক্ষক আবু সালেহকে গ্রেপ্তার করা হয়। পরদিন ওই শিক্ষকের ফাঁসির দাবিতে বিক্ষোভ মিছিল ও প্রতিবাদ সমাবেশ শেষে তার বাড়িতে হামলা ও ভাঙচুরের ঘটনা ঘটে।</t>
  </si>
  <si>
    <t>তীব্র নিন্দা জানায় প্রতিবাদ জানায় বিশ্ব মুসলিম এক হও বাংলাদেশের বৈকট ঘোষণা করতে হবে</t>
  </si>
  <si>
    <t>কুরআন আমাদের বেঁচে থাকার দলিল, এবং সারা বিশ্বে লাখ লাখ হাফেজ আছেন। কুরআনের বিরুদ্ধে অবস্থান নেওয়াদের আমরা তীব্র নিন্দা জানাই এবং অবমাননার জন্য দায়ীদের শাস্তি ও ফাঁসির দাবি করছি।</t>
  </si>
  <si>
    <t>রায় ঘোষণার পর দুপুর ২ টায় লাঠি হাতে নেতাকর্মীরা প্রতিবাদে মিছিল শুরু করে। মিছিলটি রাজগঞ্জ বাজারের কালী মন্দির এবং বৈন্নবাড়িতে ভাঙচুর করে, পরে টঙ্গীপাড়া ও আলাদিনগর গ্রামে হিন্দুদের আক্রমণ করে, আটটি পরিবারে ভাঙচুর ও লুটপাট চালায়।</t>
  </si>
  <si>
    <t>প্রায় ১০০০ বছর ধরে মালির ডোগন উপজাতি ইসলামি জিহাদের মাধ্যমে ধর্মীয় ও জাতিগত নিপীড়নের শিকার হয়েছিল। এই অভিযানে তাদের ঐতিহ্যবাহী ধর্ম পরিত্যাগ করে ইসলামে ধর্মান্তরিত হতে বাধ্য করা হয়।</t>
  </si>
  <si>
    <t>সেখানে হিন্দু মহিলাদের মাটিতে চিৎ করে শুইয়ে মুসলিম লীগের গুণ্ডারা পায়ের বুড়ো আঙ্গুল দিয়ে সিঁথির সিঁদুর মুছে দিয়ে হাতের শাঁখা ভেঙ্গে তাদের স্বামী ও পুত্র ও শিশু কন্যাদের হত্যা করে ওই হিন্দু মহিলাদের জোর করে ইসলাম ধর্মে দীক্ষিত করে বিয়ে করত।</t>
  </si>
  <si>
    <t>কুরআনের আয়াত অনুযায়ী, আল্লাহ মানুষকে একটি বৃহৎ পরিবার হিসেবে দেখেন, যেখানে প্রতিটি ধর্মের মানুষকে একে অপরকে শ্রদ্ধা ও ভালোবাসা প্রদান করা উচিত।</t>
  </si>
  <si>
    <t>প্রতিমা, পূজামণ্ডপ, মন্দিরে ভাঙচুর ও অগ্নিসংযোগের ঘটনা ঘটেছে ১ হাজার ৬৭৮টি। আসক বলছে, এসব হামলায় আহত হয়েছে ৮৬২ জন হিন্দু ধর্মাবলম্বী।</t>
  </si>
  <si>
    <t>দক্ষিণ থেকে আগত ব্রাহ্মণ্যধর্মের অনুসারী সেন রাজারা বাংলা আক্রমণ করেন এবং পাল রাজাদের হাত থেকে ক্ষমতা কেড়ে নিয়ে বাংলার গদিতে আসীন হন। সেন রাজারা বৌদ্ধদের হাত থেকে ক্ষমতা কেড়ে নিয়েই ক্ষান্ত হননি তাঁরা রীতিমত বৌদ্ধ নির্যাতন শুরু করেন এবং বৌদ্ধ নিধনযজ্ঞ শুরু করেন।</t>
  </si>
  <si>
    <t>সুবাহানাল্লাহ, আল্লাহ তায়ালার এই নাজ নেয়ামতের কথা শুনে চোখে পানি ধরে রাখতে পারি না। নিশ্চয়ই আল্লাহ তাআলা মহান।</t>
  </si>
  <si>
    <t>আমি ধর্মীয় উগ্রতাকে গভীরভাবে ঘৃণা করি। এদেশের বিজ্ঞ আলেমরাও একইভাবে উগ্রতাকে নিন্দা করেন। আলেমদের সঙ্গে মিশে আমি এর প্রকৃত প্রমাণ পেয়েছি।</t>
  </si>
  <si>
    <t>১০ই ফেব্রুয়ারী নোয়াখালী জেলার হিন্দুদের ওপর হত্যাকাণ্ড শুরু হয়। ১৩ই ফেব্রুয়ারি বিকাল বেলায় প্রকাশ্য দিবালোকে ফেনী জেলার হিন্দুদের উপর পাশবিক বর্বরতা চালানো হয়</t>
  </si>
  <si>
    <t>ছাতিপাড়া চন্দ্রমনি রক্ষা কালী মন্দিরেও হামলা করে প্রতিমা ভাঙচুর ও আগুন দেয়া হয়। বাইরে আরো ১৫টি মন্দির ও মণ্ডপের পূজার গেটে আগুন দেয়া হয়, ভাঙচুর করা হয়। এই কারণে ওই দিন বেশ কিছু মন্দিরে পূজা বন্ধ হয়ে যায়।</t>
  </si>
  <si>
    <t>কিছু জামায়াতে ইসলামীর উগ্রপন্থীরা তার পোস্টের স্ক্রিনশট নিয়ে কালার প্রিন্ট করে কয়েক দিন ধরে রংপুরের গঙ্গাচড়া, তারাগঞ্জ, নীলফামারী জেলার উপজেলায় মসজিদে মানুষদের উত্তেজিত করে। পরে তারা গংগাচড়া উপজেলায় হিন্দুদের উপর হামলা করে।</t>
  </si>
  <si>
    <t>দুপুর ২টার দিকে একটি উপজেলার বিভিন্ন গ্রাম থেকে জুমার নামাজের পর লাঠিসোতা নিয়ে দলে দলে বিক্ষোভ শুরু হয়।</t>
  </si>
  <si>
    <t>মুসলমানরা ঈদুল ফিতর, ঈদুল আযহা, মুহররম, মিলাদ উন নবী, শব -ই- বরাত ও চাদ রাত সারা দেশে উদ্‌যাপন করে।</t>
  </si>
  <si>
    <t>বাংলাদেশের ব্রাহ্মণবাড়িয়ায় হিন্দু-মুসলিম দাঙ্গায় নিহত তিন, মসজিদে অগ্নিসংযোগ।</t>
  </si>
  <si>
    <t>কান্তনগর গ্রামের মুসলমানরা গরুর গোশত খেতে পারবে না, কারো বাড়িতে গরুর গোশত পাওয়া গেলে হিন্দুরা তাকে পিটিয়ে হ*ত্যা করবে ঠিক পাশের দেশটির মতোই।</t>
  </si>
  <si>
    <t>মধ্যপ্রাচ্যে বাংলাদেশের অর্থনীতি হুমকির মুখে পড়েছে, কারণ ইসলাম বিদ্বেষী বক্তব্যের কারণে দেশটির গুরুত্বপূর্ণ বাণিজ্যিক অংশীদার দেশগুলো বাংলাদেশী পণ্য বর্জনের ডাক দিয়েছে এবং ব্যবসায়ীরা পণ্য সরিয়ে নিচ্ছে।</t>
  </si>
  <si>
    <t>আবেগ মাখা কণ্ঠে স্বপ্নের জান্নাতের অসাধারণ বর্ণনা। আল্লাহ আমাদের সবাইকে জান্নাতুল ফিরদাউসে যাওয়ার তাওফীক দান করুক।</t>
  </si>
  <si>
    <t>প্রতিটি প্রাণীর জীবনের মূল্য আছে বলে আল্লাহ কুরআনে উল্লেখ করেছেন, এবং তিনি চান যেন তারা অন্যায়ভাবে কষ্ট না পায়।</t>
  </si>
  <si>
    <t>মাদারীপুরে হিন্দু ও মুসলিমদের মধ্যে সাম্প্রদায়িক সংঘর্ষে অন্তত ২৮ জন নিহত হন। মসজিদ ও মন্দির ক্ষতিগ্রস্ত হয়।</t>
  </si>
  <si>
    <t>এই অনুষ্ঠানে উপস্থিত হয়েছি আশা করি কেয়ামতের দিন হয়তো আর কোন ভালো কাজ না থাকলে এই ভালো কাজের সাথে থাকার জন্য হলেও মাফ পেতে পারি</t>
  </si>
  <si>
    <t>কোনো ধর্মেই অন্যকে ঘৃণা করার শিক্ষা দেওয়া হয় না। বরং সব ধর্মেই ভালোবাসা ও ক্ষমার কথা বলা হয়।</t>
  </si>
  <si>
    <t>বাংলাদেশ জাতীয় হিন্দু মহাজোটের মহাসচিব গোবিন্দ চন্দ্র প্রামাণিক দাবি করেছেন ১ জানুয়ারি থেকে ৩০শে জুন পর্যন্ত হিন্দুসম্প্রদায়ের ৭৯ জনকে হত্যা করা হয়েছে।[</t>
  </si>
  <si>
    <t>মানুষ কতটুকু নিকৃষ্ট পর্যায়ে চলে গেলে ধর্ম নয়েও ফানি পোস্ট করতে পারে! খেয়াল করে দেখবেন মানুষ আজকাল ধর্মকে কুলষিত করতে যাররা পরিমাণ চিন্তা করে না!</t>
  </si>
  <si>
    <t>এক নির্দিষ্ট সময়ের পর থেকে বাংলাদেশে ধারাবাহিকভাবে হিন্দু সম্প্রদায়ের মন্দির ঘরবাড়ি ব্যবসা জোরপূর্বক দখল ও ধ্বংস করা হয়েছে এবং এসব ঘটনায় জড়িত ছিল ক্ষমতাসীন দলের নেতারা।</t>
  </si>
  <si>
    <t>২০১৫ সালের জুলাইতে এক ধর্মীয় গোষ্ঠী সংখ্যালঘুদের শিক্ষা প্রতিষ্ঠানে ভর্তির অনুমতি দেয় না, ফলে ২১ জন আত্মহত্যা করে।</t>
  </si>
  <si>
    <t>"এক মুসলমান হামলা করেছে, আরেক মুসলমান বাঁচাইছে। ওরা যদি আমাদের রক্ষা না করতো, তাহলে এখানে লুটপাট হইতো"</t>
  </si>
  <si>
    <t>২০১৩ সালে আগস্ট থেকে সেপ্টেম্বরের মধ্যে উত্তর প্রদেশ রাজ্যের মুজাফফরনগর জেলায় হিন্দু ও মুসলমান দুটি প্রধান ধর্মীয় সম্প্রদায়গুলির মধ্যে দ্বন্দ্ব ঘটেছিল। এই দাঙ্গার ফলে ৪২ জন মুসলমান ও ২০ হিন্দুসহ কমপক্ষে ৬২ জন মারা গিয়েছিল এবং ২০০ জন আহত হয়েছে এবং ৫০,০০০ এরও বেশি বাস্তুচ্যুত হয়েছিল।</t>
  </si>
  <si>
    <t>কুমিল্লায় একটি কালীমন্দিরে রাতের বেলায় প্রবেশ করে দেবীর মূর্তি হাতুড়ি দিয়ে ভেঙে দেয় দুর্বৃত্তরা।</t>
  </si>
  <si>
    <t>বিশ্বাস ও আস্থা একজন মানুষকে বিপদের মধ্যেও স্থির থাকতে শেখায়।</t>
  </si>
  <si>
    <t>তদন্তে তারা মতিউর রহমান নিজামীকে গণহত্যার মাস্টারমাইন্ডিংয়ের জন্য দোষী বলে মনে করেন। ২০১৬ সালে নিজামিকে দোষী সাব্যস্ত করা হয়েছিল এবং ফাঁসি দিয়ে মৃত্যুদণ্ড কার্যকর করা হয়েছিল।</t>
  </si>
  <si>
    <t>একটি ইসলামিক সেন্টারের বাইরে দাঁড়িয়ে থাকা ব্যক্তিদের উপর শারীরিক আক্রমণ চালানো হয়, এতে কয়েকজন মুসলমান আহত হন। ঘটনাটি ২০২১ সালে কানাডায় সংঘটিত।</t>
  </si>
  <si>
    <t>মুহাম্মাদ ও তার সমসাময়িকদের জীবন সম্পর্কে জ্ঞানের প্রধান উৎস হলো হাদিস ও সীরাত। কিন্তু গুরুত্বপূর্ণ বিষয় হলো, এই তথ্যগুলো লিপিবদ্ধ করা হয়েছিল মুহাম্মাদের ওফাতের ১৫০-২০০ বছর পরে, যখন তার জীবনের ঘটনাগুলো মৌখিকভাবে প্রচলিত ছিলো।[</t>
  </si>
  <si>
    <t>ধর্মীয় চাপে পাড়ায় একমাত্র হিন্দু পরিবারের শিশুকে স্কুল থেকে বহিষ্কার করা হয়, পরবর্তী কালে সে আত্মহত্যা করে; প্রতিবাদে আরও ১০ জন নিহত হন।</t>
  </si>
  <si>
    <t>ধর্মের নামে যারা মানুষ হত্যা করে ও ভিন্ন ধর্মের মানুষের ঘরবাড়ি লুট করে, তাদের বিরুদ্ধে কার্যকর কোনো প্রতিবাদ চোখে পড়ে না। প্রশাসন নীরব, আর রাজনীতিকেরা পরমতসহিষ্ণুতার কথাই বলে।</t>
  </si>
  <si>
    <t>এক খ্রিস্টান সম্প্রদায়ের শিশুদের উপর গুলি চালিয়ে ১৭ জন নিহত হন।</t>
  </si>
  <si>
    <t>পিরোজপুরে হিন্দুদের বসতঘরের পাশে স্থাপিত গৃহদেবতার ছোট মন্দিরটি ভেঙে দেয় এবং মূর্তিগুলো পাশের খালে ফেলে দেয়া হয়।</t>
  </si>
  <si>
    <t>নেলি হত্যাকাণ্ড ১৯৮৩ সালের ১৮ ফেব্রুয়ারি ছয় ঘণ্টাব্যাপী এক গণহত্যা।</t>
  </si>
  <si>
    <t>সামাজিক মাধ্যম ব্যবহারকারীদের অন্যান্য পোস্ট দেখলে আন্দাজ পাওয়া যায় যে এদের একটা বড় অংশই হিন্দুত্ববাদী এবং মুসলিম-বিরোধী।</t>
  </si>
  <si>
    <t>ধর্মভ্রষ্টরা ইসলামকে অপমান করে, ধর্মের নাম নিয়ে জঘন্য কাজ করে, অথচ নিজেদের মুসলিম বলে দাবি করে। এরা আসলে ইসলামের শত্রু, মুনাফিক, এবং মুসলিম সমাজের ক্যান্সার।</t>
  </si>
  <si>
    <t>এক খ্রিষ্টান পরিবারকে ধর্মত্যাগে বাধ্য করা হয়, না মানায় আগুন দিয়ে পুড়িয়ে হত্যা করা হয়, শিশুটির মৃতদেহ কুয়ো থেকে উদ্ধার হয়। মোট নিহত: ৭ জন।</t>
  </si>
  <si>
    <t>সুনামগঞ্জে জলসা বন্ধ করতে হিন্দু পরিবারকে হুমকি দেয়া হয়, পরে মণ্ডপে অগ্নিসংযোগ করে উগ্রবাদীরা।</t>
  </si>
  <si>
    <t>কামিনী কুমার দেব সহ পুরুষদের একটি লাইনে দাঁড় করানো হয় এবং বার্স্ট ফায়ার করে তাদের মেরে ফেলা হয়। রাজাকার এবং আলবদর সহ স্থানীয় সহযোগীরা গ্রামের ১৯টি বাড়িঘর এবং ৬টি শস্যাগারে আগুন লাগিয়ে দেয়।</t>
  </si>
  <si>
    <t>ইসলাম বলে দিয়েছে অন্য ধর্মের প্রতি সৌহার্দপূর্ণ মনোভাব দেখাতে,</t>
  </si>
  <si>
    <t>বাংলাদেশে নবীকে অবমাননার প্রতিবাদে মুসলমানরা রাস্তায় নেমে মূর্তি ভেঙেছে, ব্যানার জ্বালিয়েছে এবং আল্লাহর নামে শপথ করে বলেছে, ইসলামের অপমান আর সহ্য করা হবে না।</t>
  </si>
  <si>
    <t>আহত হয়েছেন কয়েকজন। এর আগে গত মুহাররম মাসে ঢাকার হোসনি দালান এবং বগুড়ার একটি গ্রামে শিয়াদের একটি ধর্মীয়স্থানে হামলার ঘটনায় কিছু লোক হতাহত হয়েছে।</t>
  </si>
  <si>
    <t>ধর্ম আর রাজনীতি দুটো পৃথক বিষয় , রাজনীতির মধ্যে ধর্ম মিশলে রাজনীতির সাথে সাথে ধর্ম কলুষিত হয় ।</t>
  </si>
  <si>
    <t>নবী ধর্মের অতিবাদিত ব্যবহারকে ভয় করেছেন, কিন্তু ধর্মীয় উগ্রপন্থীরা তা মানে না। বাংলাদেশে ধর্ম ব্যবসায়ীরা সক্রিয়।</t>
  </si>
  <si>
    <t>ইসলাম বিরোধী যে কোনো কাজে বর্তমান যে নাম গুলা সবার আগে আসবে,তাদের নামগুলো দেখে ও মুসলিম মনে হবে।</t>
  </si>
  <si>
    <t>মইরাও শান্তিতে নেই। অভিশাপ নাকি বরকত, মৃত্যুর পর কবর দেওয়া হবে নাকি পোড়ানো—এই নিয়ে মানুষের মধ্যে নানা আলোচনা চলছে। বডিটা যেন ধর্মীয় অনুশাসন অনুযায়ী ব্যবস্থা নেয়া হয়, মেডিকেল কলেজে দিয়ে দেওয়া উচিত নয়।</t>
  </si>
  <si>
    <t>জৈন ধর্মে জীবনের প্রতি বিশেষ শ্রদ্ধা এবং জীবের প্রতি অহিংস মনোভাবকে অত্যন্ত গুরুত্ব দেওয়া হয়, যা একটি শান্তিপূর্ণ সমাজের জন্য অনুপ্রেরণা।</t>
  </si>
  <si>
    <t>এছাড়া এই ঘটনার সূত্র ধরে ১৯৯৩ সাল পর্যন্ত বিভিন্ন মাত্রায় সমগ্র বাংলাদেশ জুড়ে হিন্দুদের উপর বিরামহীন অত্যাচার, নির্যাতন, লুটপাট, হত্যা, ধর্ষণ, অপহরণের মত জঘন্য নিষ্ঠুরতা চালাতে থাকে মুসলিমরা।[২] বিশেষ করে ১৯৯২ সালের পুরোটা সময় ধরে এই বীভৎসতার মাত্রা ছিল বর্ণনাতীত।</t>
  </si>
  <si>
    <t>হে আল্লাহ্ আমি জানি তুমি কোরআনের সর্বোউত্তম হেফাজত কারী।আর তুমি অচিরেই জালিমদের উপর তোমার কঠিন আজাব নাযীলকরো।</t>
  </si>
  <si>
    <t>ইসলামী মৌলবাদীরা পুনরায়, বগুড়া জেলার নন্দীগ্রাম উপজেলায় ১২ জানুয়ারী আক্রমণ করে, কিছু বাড়িঘরে লুটপাত করা হয়, কোনো বাড়িঘরে হামলা করা হয়, কিছু টিউবওয়েল উপড়ে তা নিয়ে যাওয়া হয়।</t>
  </si>
  <si>
    <t>২০০০ সালের ১৪ এপ্রিল, রমনা বটমূলে নববর্ষ উদযাপনে বোমা হামলায় ১০ জন নিহত ও শতাধিক আহত হন।</t>
  </si>
  <si>
    <t>হিন্দুদের দ্বারা রামের জন্মস্থান হিসাবে বিবেচিত বাড়ি সহ রামকোট দুর্গ ভেঙে ফেলা হয়েছিল। এর জায়গায় তিনটি গম্বুজ বিশিষ্ট একটি মসজিদ নির্মাণ করা হয়।</t>
  </si>
  <si>
    <t>চারদিকে যে পরিমাণে ইসলাম বিদ্বেষী ঢুকে পড়েছে, তাতে আমাদের ক্যাম্পাস কতদিন অনুকূলে থাকবে এটাই দেখার বিষয়</t>
  </si>
  <si>
    <t>বাংলাদেশের কুমিল্লার ইতিহাস মুসলিমদের জন্য বেদনাদায়ক। আজ থেকে একচল্লিশ বছর পূর্বে তৎকালীন স্বৈরশাসক স্থানীয় শাসক মুসলিম সম্প্রদায়ের ওপর চালায় এক নারকীয় গণহত্যা।</t>
  </si>
  <si>
    <t>ঝালকাঠিতে হিন্দু ও মুসলিমদের মধ্যে সাম্প্রদায়িক দ্বন্দ্ব সংঘর্ষে রূপ নেয়। সংঘর্ষে অন্তত ৩০ জন নিহত হন এবং হাজার হাজার মানুষ গৃহহীন হয়। ব্যাপক ধ্বংসযজ্ঞ ঘটে।</t>
  </si>
  <si>
    <t>আমরা নিজেরা কোরআন পড়ি, হাদিস পড়ি, ইসলামি বিভিন্ন বই পড়ি, এবং যাচাই-বাছাই করে সঠিক পথের অনুসরণ করি। আল্লাহ আমাদের সঠিক বুঝ দান করুন।</t>
  </si>
  <si>
    <t>মন্দিরে ঘণ্টা বাজানো হোক বা আজানে ডাকা হোক, প্রত্যেকটির মূল উদ্দেশ্য ঈশ্বরকে স্মরণ করা।</t>
  </si>
  <si>
    <t>দাঙ্গা দমনে ব্যর্থ মুসলিম লীগ মন্ত্রিসভা অবিলম্বে অব্যাহতির দাবি ও নোয়াখালীতে কেন্দ্রীয় হস্তক্ষেপ চাওয়া হয়। লেফটেন্যান্ট জেনারেল বুচার বলেন, দাঙ্গায় ক্ষতিগ্রস্ত হিন্দুদের আত্মবিশ্বাস ফিরানো কঠিন।</t>
  </si>
  <si>
    <t>৮ ফেব্রুয়ারি ২০২৩ জামালপুরের ইসলামপুরে একটি ছোট কালীমন্দিরে মূর্তির মাথা কেটে নিয়ে যায় দুর্বৃত্তরা</t>
  </si>
  <si>
    <t>হিন্দুদের হাতে বৌদ্ধরা এতটাই নির্যাতিত ও নিপীড়িত হয়েছিল যে বখতিয়ার খিলজীর বাংলা বিজয়কে ভগবানের দান মনে বিজয়োল্লাসে মেতে উঠেছিল।</t>
  </si>
  <si>
    <t>ইসলামের শিক্ষা অনুযায়ী, একজন মুসলিম কেবল আল্লাহর প্রতি তার কর্তব্যই পালন করে না, বরং তার সমাজের প্রতি ন্যায়বিচার এবং শান্তি বজায় রাখতে সাহায্য করে।</t>
  </si>
  <si>
    <t>খুলনায় হিন্দু-মুসলিম দাঙ্গায় দুই সম্প্রদায়ের হাজার হাজার লোক সংঘর্ষে জড়িয়ে পড়ে। সংঘর্ষের সময় মন্দির ও মসজিদ উভয়ই ক্ষতিগ্রস্ত হয়, যার ফলে ৩৫ জন নিহত হন এবং অসংখ্য মানুষ আহত হয়। এছাড়া, বহু দোকানপাট, বাড়িঘর ও যানবাহন পুড়িয়ে দেওয়া হয়, যা এলাকার শান্তি ও স্থিতিশীলতাকে মারাত্মকভাবে ধ্বংস করে দেয়।</t>
  </si>
  <si>
    <t>বেদ সকল ধর্মের মূল..তাই আপনাদের মূল গ্রন্থ কোরান আর সনাতনীদের মূলগ্রন্থ বেদ এটা নিয়ে বিশ্লেষণ করে দেখবেন আসলে কোনটা সত্য</t>
  </si>
  <si>
    <t>যে জাতি নিজের বাবা-মার কাছ থেকে শিখে যে হিন্দুদের মালাউন বলতে হয়, যে জাতি একটা হিন্দুদের একটা অনুষ্ঠানে নিজের কাছের হিন্দু বন্ধুটিকেও শুভেচ্ছা জানাতে বারণ করে। সে জাতি আজ তোমাদের বিরোধীতা করছে তাতে ভয় কিসের ?</t>
  </si>
  <si>
    <t>১৬ আগষ্ট ভোরে উত্তেজনা শুরু হয় যখন লীগের স্বেচ্ছাসেবকেরা উত্তর কলকাতায় হিন্দু ব্যবসায়ীদের দোকানপাট বন্ধ রাখতে বাধ্য করে এবং হিন্দুরা এর সমুচিত প্রতিশোধ হিসেবে লীগের শোভাযাত্রাসমূহের পথে বাধার সৃষ্টি করে। সরকারি হিসাব মতে এ দাঙ্গায় ৪,০০০ লোক নিহত ও ১,০০,০০০ আহত হয়।</t>
  </si>
  <si>
    <t>২০১৯ সালের এপ্রিল মাসে এক তরুণকে তার বোনকে ধর্মত্যাগ থেকে রক্ষা করতে গিয়ে হত্যা করা হয়, এতে আরও ১৪ জন প্রাণ হারান।</t>
  </si>
  <si>
    <t>ধিক ওদের জন্মের ও ধিক ওদের নাম পরিচয়ের, মুসলমানদের জন্য কলঙ্ক !</t>
  </si>
  <si>
    <t>সনাতনীদের প্রতি আবেদন, নিজের ধর্ম সম্মান করতে দেবপ্রতিমা পূজার বিরুদ্ধে মতবাদ সমর্থন বন্ধ করুন।</t>
  </si>
  <si>
    <t>২০১৫ সালের জুন মাসে এক ধর্মীয় গোষ্ঠী ধর্মীয় বই বিতরণকারীদের ওপর হামলা চালিয়ে ১৮ জন প্রাণ হারায়।</t>
  </si>
  <si>
    <t>হিন্দু সম্প্রদায়ের কিছু অংশ ধর্মীয় উগ্রতা ছড়িয়ে দিয়ে সমাজে ধর্মীয় বিদ্বেষ সৃষ্টি করে এবং অশান্তির জন্ম দেয়।</t>
  </si>
  <si>
    <t>২০১৮ সালের জুন মাসে এক গোষ্ঠী ধর্মীয় গোষ্ঠীর মধ্যে সংঘর্ষে ২৭ জন নিহত হয়; বহু মানুষ গৃহহীন হয়।</t>
  </si>
  <si>
    <t>২০১৭ সালের অক্টোবর মাসে এক মসজিদে গ্যাস সিলিন্ডার বিস্ফোরণ, এতে ৩৮ জন নিহত হন এবং বহু মানুষ গুরুতর আহত হয়।</t>
  </si>
  <si>
    <t>বাংলাদেশের বিএনপি ও জামাতি ইসলাম হিন্দুদের উপর আক্রমণের অভিযোগ অস্বীকার করেছে।</t>
  </si>
  <si>
    <t>পূজার সময় শঙ্খ বাজিবে, নামাযের সময় আযান, সাম্প্রদায়িক সম্প্রীতি রবে, থাকতে বাঙ্গালির প্রাণ। ধর্ম যার, উৎসবও তার, এইটাই হবে নীতি, ধর্ম রবে ধর্মের স্থানে, মানবতাতেই সম্প্রতি</t>
  </si>
  <si>
    <t>খ্রিস্টান মিশনারিরা ধর্মান্তরের নামে দেশে ধর্মীয় অশান্তি ও বিভাজন সৃষ্টি করছে।</t>
  </si>
  <si>
    <t>থানার মুসলিম দারোগা সব হিন্দু পুরুষকে থানা থেকে জোর করে বের করে দেয়। উন্মত্ত মুসলিম জনতা এসময় তাদেরকে তীব্রভাবে প্রহার করে স্থানীয় বড় মসজিদে নিয়ে ইসলাম ধর্মে ধর্মান্তরিত করে এবং গো-মাংস খেতে বাধ্য করে।</t>
  </si>
  <si>
    <t>বৃহস্পতিবার দিনাজপুরে হিন্দু হওয়ায় স্থানীয় একজন নারী উপজেলা নির্বাহী অফিসারের বাড়িতে ঢুকে তাকে ও তার বাবাকে কুপিয়ে জখম করার নৃশংস ঘটনা ঘটে।</t>
  </si>
  <si>
    <t>জামালপুরে একটি প্রাচীন হরিমন্দিরে একদল দুর্বৃত্ত ঢুকে শতবর্ষ পুরনো মাটির প্রতিমা হাতুড়ি দিয়ে গুঁড়িয়ে দেয়।</t>
  </si>
  <si>
    <t>ধর্মীয় দ্বন্দ্বে এক স্কুলে আগুন ধরিয়ে ১৬ জন নিহত হন।</t>
  </si>
  <si>
    <t>২৮ মার্চ ২০২৪ কুষ্টিয়ার দৌলতপুরে পুজামণ্ডপে আগুন লাগিয়ে দেয়া হয়, নির্মাণাধীন প্রতিমা সম্পূর্ণরূপে পুড়ে যায়</t>
  </si>
  <si>
    <t>কিছু কুচক্রী মহল হিন্দু-মুসলিম দাঙ্গা বাধিয়েছে রাজনৈতিক ফায়দা হাসিলের জন্য এটাকে মন্দিরের জমিতে মসজিদে নির্মাণ করা হচ্ছে বলে প্রচার করছে।</t>
  </si>
  <si>
    <t>ইরানের ইসলামিক বিপ্লবের পর বহু ভিন্নধর্মী ব্যক্তি ও বিরোধী মতাদর্শীদের মৃত্যুদণ্ড দেওয়া হয়, যা ধর্মীয় দমননীতির প্রতিফলন।</t>
  </si>
  <si>
    <t>দিনাজপুরে খ্রিস্টান সংখ্যাগরিষ্ঠরা হিন্দুদের দাসের মতো ব্যবহার করেছে, আজও তাদের মানুষ বলে মনে করে না।</t>
  </si>
  <si>
    <t>২০১৮ সালের মার্চে এক ধর্মীয় গোষ্ঠী মেয়েদের খেলাধুলা নিষিদ্ধ করে, যারা খেলায় অংশ নেয় তাদের উপর সহিংসতা চালিয়ে ১৫ জন নিহত করে।</t>
  </si>
  <si>
    <t>মুসলিম সম্প্রদায়ের কিছু উগ্র গোষ্ঠী ধর্মীয় উগ্রতা ছড়িয়ে দিয়ে অন্য ধর্মের প্রতি বিদ্বেষ সৃষ্টি করে এবং সহিংসতা উৎসাহিত করে।</t>
  </si>
  <si>
    <t>মহাকুম্ভে মহা বিপর্যয়। পদপিষ্ট হয়ে মৃত্যুর ঘটনা। এবার সরকারি তরফে জানানো হল প্রয়াগরাজে মহাকুম্ভে পদপিষ্ট হয়ে মারা গিয়েছেন ৩০জন। ডিআইজি মহাকুম্ভ বৈভব কৃষ্ণ এই মৃত্যুর সংখ্য়া নিশ্চিত করেছেন।</t>
  </si>
  <si>
    <t>২০২২ সালে বাংলাদেশে সংখ্যালঘু সম্প্রদায়ের ১৫৪ জনকে হত্যা করা হয়েছে এবং ৩৯জন নারীকে ধর্ষণ করা হয়েছে৷ এক সংবাদ সম্মেলনে সংখ্যালঘুদের বিরুদ্ধে সহিংসতার এসব তথ্য তুলে ধরে বাংলাদেশ জাতীয় হিন্দু মহাজোট৷</t>
  </si>
  <si>
    <t>সরকারি রিপোর্ট অনুসারে ২০০৪ সালের তুলনায় হিন্দু প্রতিষ্ঠানের উপর আক্রমণ ১৪% বৃদ্ধি পেয়েছে। হিন্দু এবং হিন্দু ধর্মকে খ্রিস্টীয় মৌলবাদীরা বহিরাগত তকমা দিচ্ছে । বিশেষ করে ২০০০ সালের মে অভ্যুত্থানের পরে ফিজিয় খ্রিস্টীয় মৌলবাদীদের দ্বারা হিন্দুরা হামলার শিকার হয়েছে ।</t>
  </si>
  <si>
    <t>সাতক্ষীরায় ধর্মীয় গোষ্ঠীর মধ্যে সংঘর্ষে ৪৬ জন নিহত হন। পুলিশ এলাকা ঘিরে রাখে, সরকার শান্ত ও ধর্মীয় সহিষ্ণুতা বজায় রাখার নির্দেশ দেয়। বহু সংখ্যালঘু পরিবার নিরাপত্তার জন্য গ্রাম ছেড়ে চলে যায়।</t>
  </si>
  <si>
    <t>চিন্তা করতে পারিস; নবমীর দিন ও আমার কোর্সের সেমিস্টার ফাইনাল দিয়ে রেখেছে। আমি আমার কোর্সের পরীক্ষা পিছিয়ে নিতে চেয়েছি; ডিপার্টমেন্ট বলেছে 'ছুটি নিলে পরে নিবেন। দশমীর দিন থেকে তো ছুটি পাবেনই</t>
  </si>
  <si>
    <t>ধর্ম সত্যিই মহাপাপ নয়; যারা ধর্ম পালন করে তারা আত্মহত্যা করে না। আমার মন্তব্য ভুল হয়েছে, দয়া করে ক্ষমা করবেন এবং সম্ভব হলে মুছে ফেলবেন।</t>
  </si>
  <si>
    <t>প্রকৃত ধর্মীয় জ্ঞান এবং প্রকৃত দীনি শিক্ষার বিকল্প হিসেবে আমরা আবেগকে বেশি প্রশ্রয় দেই। তবে প্রকৃত মূলধারার আলেম যারা, তারা কিন্তু এ বিষয়টা ইতিবাচক হিসেবেই নিচ্ছে।</t>
  </si>
  <si>
    <t>ইসলামের আলো আরবে ছড়িয়ে পড়ার সময় বাংলায় ব্রাহ্মণরা মন্দির বানিয়ে বৌদ্ধ বিহার জ্বালিয়ে দিচ্ছিল, শত শত বৌদ্ধ ভিক্ষুকে হত্যা করে ধর্মকে মুছে দিতে চেয়েছিল।</t>
  </si>
  <si>
    <t>আরএসএস মনে করে হিন্দু শব্দটি কোনও জাতিকে বোঝায় না।</t>
  </si>
  <si>
    <t>যখনই চতুরদিকে তাকাই অন্যায়, অত্যাচার, জুলুম দেখি মনটা এলোমেলো হয়ে যায়, ভেঙে পরি তখন ওস্তাদের লেকচার শুনে আবার আশা ফিরে পাই, অন্তর দৃষ্টি খুলতে থাকে আলহামদুলিল্লাহ।</t>
  </si>
  <si>
    <t>৩১ জুলাই রাত ৮.৩০টার দিকে ঝিনাইদহের শৈলকুপা উপজেলার কামারিয়া গ্রামে আট হিন্দু বাড়িতে হামলা ও লুটপাট চালানো হয়। এ ঘটনায় আহত হয়েছেন নারীসহ কমপক্ষে ১৫ জন হিন্দু ধর্মালম্বী।</t>
  </si>
  <si>
    <t>২৪ অক্টোবর সোমবার রাত সাড়ে ১১টার দিকে দিনাজপুর সদর উপজেলার কালীমন্দিরে জুয়া খেলাকে কেন্দ্র করে সংঘর্ষের ঘটনা ঘটে। এতে কালীপূজা উপলক্ষে স্থাপিত একটি প্রতিমায় ভাঙচুর চালানো হয়।</t>
  </si>
  <si>
    <t>কয়েকদিন আগে ধর্মীয় পরিচয়ের কারণে হামলার শিকার বিশ্ববিদ্যালয়ের মুসলিম শিক্ষার্থীরা কোনো রাজনৈতিক দলের সদস্য ছিলেন না।</t>
  </si>
  <si>
    <t>গত রোববার রাতে দেশটির কাদুনা রাজ্যের তুদুন বিরি গ্রামে ঈদে মিলাদুন্নবী উদযাপনের অনুষ্ঠানকে লক্ষ্য করে এই হামলা চালানো হয়। সেখানকার স্থানীয় মুসলিমরা নবী মোহাম্মদের জন্মদিন পালনের জন্য জমায়েত হয়েছিলেন।</t>
  </si>
  <si>
    <t>ধর্মীয় উৎসব যেমন রমজান, পূজা, বড়দিন — এগুলো মানুষের মধ্যে ভালোবাসা ও মিলনের বার্তা নিয়ে আসে।</t>
  </si>
  <si>
    <t>আপনার পন্ডিত রা সনাতন ধর্মেকে উন্মুক্ত করেদিন যাতে সবাই বুঝতে পারে,, সাধারণ লোককে সত্য জানতে দিতেন না আগে,,আপনারাই সতীদাহ প্রথার ব্যপারেও কত বড় জুলুম করতেন,,</t>
  </si>
  <si>
    <t>১৯৫০ থেকে ১৯৮০ সালের মধ্যে বাংলাদেশে হিন্দু-মুসলিম সহিংসতায় প্রায় ১০,০০০ জন নিহত হয়েছেন।</t>
  </si>
  <si>
    <t>সিলেটে ধর্মীয় সহিংসতায় সংখ্যালঘু হিন্দুদের ওপর হামলায় অন্তত ৪২ জন নিহত হন। হামলাকারীরা তাদের মন্দির ও বাড়িঘর পুড়িয়ে দেয়।</t>
  </si>
  <si>
    <t>একটি গুজব ছড়ানো হয় যে শেরে বাংলা এ কে ফজলুল হক ও তার ভগ্নিপতিকে কোলকাতায় খুন করা হয়েছে। সন্ধ্যা নেমে আসতেই কমপক্ষে আট জায়গাতে অগ্নি সংযোগ করা হয়। ত্রিশটি বাড়ি আগুনে পুড়িয়ে ভস্ম করে দেওয়া হয় এবং কমপক্ষে দশ জন আগুনে দগ্ধ হয়।</t>
  </si>
  <si>
    <t>এক ধর্মীয় সম্প্রদায়ের বিক্ষোভে পুলিশ গুলি চালায়, ২২ জন নিহত হয়।</t>
  </si>
  <si>
    <t>১৩ নভেম্বর ২০২৪ কিশোরগঞ্জের পাকুন্দিয়ায় একটি পুরনো রামঠাকুর আশ্রমে প্রতিমাগুলোর মুখ বিকৃত করে দেয় দুর্বৃত্তরা</t>
  </si>
  <si>
    <t>আসসালামু আলাইকুম আল্লাহু আকবার, আল্লাহু আকবার প্রতিধ্বনি পৌঁছে যাক আল্লাহপাকের আরশে আজিমে এবং বিজয় শুরু হোক পৃথিবীর শ্রেষ্ঠ ধর্ম ইসলামের আলহামদুলিল্লাহ সুবহানাল্লাহ কোন একদিন আল্লাহর রহমতে এদেশের আকাশে কালেমার পতাকা উড়বে সেদিন সবাই আল্লাহর বিধান পেয়ে দুঃখ বেদনা ভুলবে ইনশাআল্লাহ</t>
  </si>
  <si>
    <t>মহান আল্লাহতায়ালা বলেন, ‘নিশ্চয়ই আমি এটি নাজিল করেছি ‘লাইলাতুল কদরে। তুমি কি জান কদরের রাত কি? কদরের রাত হাজার মাসের চেয়েও অধিক শ্রেষ্ঠ। এ রাতে ফেরেশতারা ও রুহ (জিবরাইল) তাদের রবের অনুমতিক্রমে সব সিদ্ধান্ত নিয়ে অবতরণ করে। (এ রাতে বিরাজ করে) শান্তি আর শান্তি- ফজর উদয় হওয়া পর্যন্ত।’ (সুরা কদর)</t>
  </si>
  <si>
    <t>২০২০ সালের জানুয়ারিতে এক গোষ্ঠী ধর্মীয় উগ্রবাদীরা মেয়েদের খেলাধুলা নিষিদ্ধ করে, যারা খেলতে যায় তাদের ওপর সহিংসতা চালিয়ে ১৪ জন নিহত করে।</t>
  </si>
  <si>
    <t>পাবনায় ধর্মীয় উগ্রতার জেরে সংখ্যালঘু সম্প্রদায়ের ওপর হামলায় অন্তত ৪১ জন নিহত হন। হামলাকারীরা বাড়িঘর ও মন্দির পুড়িয়ে দেয়।</t>
  </si>
  <si>
    <t>ময়মনসিংহে পবিত্র গীতা ছিঁড়ে ছবি তুলে তা টিকটকে ছড়িয়ে দেয় এক কিশোর গোষ্ঠী।</t>
  </si>
  <si>
    <t>১৮০৯ সালে উইলিয়াম কেরি বাংলায় বাইবেল অনুবাদ করেন। নবজাগরণের সময়ে অনেক শিক্ষিত বাঙালি খ্রিস্টীয় আদর্শে আকৃষ্ট হয়ে শান্তিপূর্ণভাবে খ্রিস্টধর্ম গ্রহণ করেন।</t>
  </si>
  <si>
    <t>১৯৬২-এর রাজশাহী হত্যাকাণ্ড বলতে ১৯৬২ সালের এপ্রিল মাসে রাজশাহী ও পাবনা জেলার স্থানীয় হিন্দু, বৌদ্ধ, সাঁওতালদের গণহারে হত্যা করার ঘটনাটাকে বোঝানো হয়।[১][২] মূলত হিন্দুদের সম্পত্তি ও মেয়েদের ওপর আক্রমণ হয়।[৩] এই হত্যাকাণ্ডে তিন হাজারেরও অধিক অমুসলিম খুন হন।</t>
  </si>
  <si>
    <t>এক ধর্মীয় মঠে আশ্রিত এতিমদের উপর ধারাবাহিক শারীরিক নির্যাতন ও যৌন সহিংসতা চালানো হয়, যার ফলে ১৫ জন শিশুর মৃত্যু ঘটে।</t>
  </si>
  <si>
    <t>তালেবানের কঠোর শরিয়াহ আইন প্রয়োগের ফলে বহু মানুষ প্রাণ হারিয়েছে, বিশেষ করে নারীদের ওপর দমন-পীড়নের ফলে অনেক মৃত্যু ঘটেছে।</t>
  </si>
  <si>
    <t>1535 এবং 1681 সালের মধ্যে ইংরেজ সরকার 300 টিরও বেশি রোমান ক্যাথলিককে রাষ্ট্রদ্রোহিতার জন্য মৃত্যুদণ্ড দেওয়া হয়েছিল, এইভাবে তাদের ধর্মীয় অপরাধের পরিবর্তে ধর্মনিরপেক্ষতার জন্য আনুষ্ঠানিকভাবে মৃত্যুদণ্ড দেওয়া হয়েছিল ।</t>
  </si>
  <si>
    <t>অনেক ক্যাথলিক বাঙালি খ্রিস্টান নামের ক্ষেত্রে পর্তুগিজ পদবি ব্যবহার করে থাকেন। বাঙালি মুসলমানরা যেমন আরবি ও ফার্সি নাম ব্যবহার করেন, বাঙালি খ্রিস্টানরাও এর অনুরূপ।</t>
  </si>
  <si>
    <t>বৌদ্ধ সম্প্রদায়ের কিছু সদস্য সমাজে অন্য ধর্মাবলম্বীদের বিরুদ্ধে বিদ্বেষমূলক মনোভাব পোষণ করে যা সামাজিক অশান্তি সৃষ্টি করে।</t>
  </si>
  <si>
    <t>তিনি কিছুসংখ্যক গ্রামবাসী নিয়ে দাঙ্গা প্রতিরোধে অবতীর্ণ হন এবং নিজেই বন্দুক হাতে আশ্রয়প্রার্থীদের প্রহরায় নিযুক্ত হন। ১৮ ফেব্রুয়ারি তারিখে দাঙ্গাকারীরা দল বেঁধে আক্রমণ করতে আসে। আলতাফউদ্দীন তাদের নিরস্ত করতে ফাঁকা গুলি ছোড়েন। দুর্বৃত্তেরা দূর থেকে তাকে লক্ষ করে বল্লম ছোড়ে। আলতাফউদ্দীন তাতে বিদ্ধ হয়ে মাটিতে পড়ে গেলে তারা তাকে হত্যা করে।</t>
  </si>
  <si>
    <t>বরিশালের ব্রাহ্মণদিয়া গ্রামে হাজারো হিন্দু আশ্রয় নেন, যেখানে জেলা মুসলিম লীগের সহ-সভাপতি আলতাফউদ্দীন মোহাম্মদ তাদের রক্ষা করেন।</t>
  </si>
  <si>
    <t>জোরপূর্বক ইসলামে ধর্মান্তরিতদের কাছ থেকে জোর করে লিখিত সাক্ষ্য রাখা হয়েছিল যেখানে লেখা ছিল তারা স্বেচ্ছায় ধর্মান্তরিত হয়েছে। তাদেরকে একটি নির্দিষ্ট বাড়িতে বা ঘরে আবদ্ধ করে রাখা হয় এবং যখন কোন আনুষ্ঠানিক পরিদর্শক দল পরিদর্শনে আসে তখন তাদেরকে ওই নির্দিষ্ট বাড়িতে যাবার অনুমতি দেয়া হত।</t>
  </si>
  <si>
    <t>সংখ্যালঘুদের ওপর হামলা চলছেই, পিরোজপুরের গ্রামে মন্দির ভাঙচুর</t>
  </si>
  <si>
    <t>মুন্সিগঞ্জে একটি নির্জন মন্দিরে ধর্মীয় পুস্তক ছিঁড়ে তার উপর পা রাখার ছবি পোস্ট করে অজ্ঞাত যুবক।</t>
  </si>
  <si>
    <t>২০১৭ সালের মার্চে এক গোষ্ঠী ধর্মীয় উগ্রবাদীরা মেয়েদের খেলাধুলা নিষিদ্ধ করে; খেলাধুলায় অংশগ্রহণকারীদের উপর সহিংসতা চালিয়ে ১৩ জন নিহত হয়।</t>
  </si>
  <si>
    <t>মাশাআল্লাহ, সুবহানাল্লাহ, আলহামদুলিল্লাহ, আল্লাহু আকবার রেখে দিলাম হৃদয়ের কুটিরে। জান্নাত নিজের চোখে দেখিনি, কিন্তু তার কল্পনার প্রতিটি ছবি আজ আমার মনের মাঝে দোলা দিয়ে গেলো কথাগুলো শুনে। আল্লাহ আপনাকে নেক হায়াত দান করুন, আমিন।</t>
  </si>
  <si>
    <t>লিখিত বক্তব্যে গোবিন্দ চন্দ্র প্রামাণিক বলেন, গত এক বছরে দেশের হিন্দুসহ সংখ্যালঘু সম্প্রদায়ের ১৫৪ জনকে হত্যা করা হয়েছে৷ হত্যার হুমকি দেওয়া হয়েছে ৮৪৯ জনকে, হত্যার চেষ্টা করা হয়েছে ৪২৪ জনকে এবং আহত করা হয়েছে ৩৬০ জনকে, নিখোঁজ রয়েছেন ৬২ জন, চাঁদাবাজি হয়েছে ২৭ কোটি ৪৬ লক্ষ ৩৩ হাজার টাকা৷</t>
  </si>
  <si>
    <t>গত বৃহস্পতিবার ভোরে কুরআন পোড়ানোর ঘটনায় ক্ষুব্ধ কিছু ব্যক্তি একটি দূতাবাসে হামলা ও ভাঙচুর চালায়, যা ধর্মীয় অনুভূতিতে আঘাত ও ধর্মীয় সহিংসতার দৃষ্টান্ত হিসেবে বিবেচিত হচ্ছে।</t>
  </si>
  <si>
    <t>গ্রামের কিছু মুসলিম হিন্দু বিদ্বেষ ছড়াতে ছড়া, স্লোগান ও মসজিদে উস্কানি ছড়ায়। গোলাম সরোয়ার ও অনুসারীরা সহিংসতার প্রস্তুতি নেয়।</t>
  </si>
  <si>
    <t>আমরা যখন গীতা পাঠ করি, সেখানে দেখা যায় কিভাবে মানবজীবনের সংকটে ধৈর্য ও করুণা রাখা উচিত।</t>
  </si>
  <si>
    <t>২০১৯ সালের ডিসেম্বর মাসে এক তরুণ তার বোনকে ধর্মত্যাগ থেকে রক্ষা করতে গিয়ে হত্যার শিকার হয়; ধর্মীয় গোষ্ঠীর সদস্যরা হামলা চালায়; ১৩ জন প্রাণ হারায়।</t>
  </si>
  <si>
    <t>২০১৭ সালের আগস্টে এক ধর্মীয় গোষ্ঠী রক্তদানে নিষেধাজ্ঞা দিয়ে বহু রোগীর মৃত্যুর কারণ হয়, যেখানে অন্তত ৪০ জন প্রাণ হারায়।</t>
  </si>
  <si>
    <t>হিন্দুধর্মাবলম্বী কেউ মৃত্যুবরণ করলে নিয়ম অনুযায়ী মৃত ব্যক্তির সম্পত্তিতে সবার আগে তাঁর পুত্র, পুত্রের অনুপস্থিতিতে পৌত্র (পুত্রের পুত্র) এবং পুত্র ও পৌত্রের অনুপস্থিতিতে প্রপ্রৌত্র (পুত্রের পুত্রের পুত্র) সম্পূর্ণ সম্পত্তির উত্তরাধিকারী হন</t>
  </si>
  <si>
    <t>উগ্র ধর্মীয় সংঘাতে ৪০ জনের বেশি মুসলিমকে গুলি করে হত্যা করা হয় যা ইতিহাসের ভয়ংকরতম মানবাধিকার লঙ্ঘনের উদাহরণ।</t>
  </si>
  <si>
    <t>২০১৯ সালের ২০ অক্টোবর, ভোলার বোরহানউদ্দিনে ফেসবুকে ধর্ম অবমাননার গুজব ছড়িয়ে পড়লে সংঘর্ষে ৪ জন নিহত ও শতাধিক আহত হয়। হিন্দু সম্প্রদায়ের বাড়িঘর ও দোকানপাটে হামলা হয়।</t>
  </si>
  <si>
    <t>ধর্মীয় অবমাননার অভিযোগে টিটু রায়ের বাড়ি একটি গ্রামে হলেও তিনি অন্য জায়গায় থাকেন।</t>
  </si>
  <si>
    <t>কুমিল্লার ব্রাহ্মণপাড়া উপজেলার ধান্যদৌল গ্রামের একটি জামে মসজিদে মলমূত্র ত্যাগ, ২৫-৩০টি কুরআন শরীফ ছিঁড়ে ফেলা এবং মসজিদের রেল ও জানালার গ্লাস ভাঙচুরের ঘটনা ঘটেছে।</t>
  </si>
  <si>
    <t>কান্তজিও/ কান্তজির/ কান্তনগর মন্দিরের জমিতে ছলছাতুরি করে মসজিদ নির্মাণের চেষ্টা করা সংখ্যালঘুদের ধর্মীয় অনুভুতিতে আঘাত দেয়া এবং ধর্ম নিয়ে বাড়া বাড়ি করার প্রদর্শনী ছাড়াও স্থানীয় হিন্দু - মুসলিমের দাঙ্গা সৃষ্টি করার এক অজানা ভবিষ্যৎ পরিকল্পনা।</t>
  </si>
  <si>
    <t>মাদারীপুরে গির্জার ফাদারকে অপমানজনক মন্তব্য করে গ্রামে বিতাড়িত করে একদল উগ্র লোক।</t>
  </si>
  <si>
    <t>জমজম মসজিদ ও হারাম আল শরিফ ঘিরে নতুন করে উত্তেজনার শঙ্কা তৈরি হয়েছে ঢাকায়। ইসলামের তৃতীয় পবিত্রতম জায়গায় ঢুকে প্রার্থনা করা শুরু করেছে উগ্রদলীয়রা। যা আগে কখনও সাহস করেনি তারা। স্থানীয়দের অভিযোগ, জমজম মসজিদকে ধর্মবর্ণের ভিত্তিতে বিভাজনের চেষ্টা চলছে। এটি বন্ধ না করলে ধর্মযুদ্ধ শুরুর হুঁশিয়ারিও দিয়েছে তারা।</t>
  </si>
  <si>
    <t>ক্যাথলিক গির্জা সদস্যসংখ্যা অনুযায়ী খ্রীষ্টধর্মের বৃহত্তম মণ্ডলী বা শাখা। ২০১৬ সালের হিসাব অনুযায়ী সারা বিশ্বে প্রায় ১৩০ কোটি লোক রোমান ক্যাথলিক গির্জা দীক্ষিত বলে পরিগণিত হন।</t>
  </si>
  <si>
    <t>রাজাকারেরা নয়জনকে হত্যা ও ধর্ষণসহ নৃশংস নির্যাতন চালায়। এ ধরনের অন্যায় ও জুলুম ধর্মবিরোধী ও নিষিদ্ধ।</t>
  </si>
  <si>
    <t>তারা মসজিদ ভেঙ্গে মন্দির করতে পারলে আমরা কেনো পারবোনা? এতো যুক্তি দেয়ার কিছু নাইতো আমরা তো তাদের থেকেই শিখছি</t>
  </si>
  <si>
    <t>ধর্মভিত্তিক সংগঠন হেফাজতে ইসলামের যুগ্ম মহাসচিব মামুনুল হকের বিরুদ্ধে ফেসবুকে স্ট্যাটাসের জেরে ১৭ মার্চ সকালে শাল্লার নোয়াগাঁওয়ে হিন্দুদের বাড়িঘরে হামলা চালায় কয়েক হাজার লোক।</t>
  </si>
  <si>
    <t>কিছুদিন আগে রাজশাহী বিশ্ববিদ্যালয়ের হলে সেহরিতে গরুর মাংস পরিবেশন নিয়ে যে বিতর্ক সৃষ্টি হয়, তা ধর্মীয় আচারের অপমান-ধর্মীয় অনুভূতিতেও আঘাত।</t>
  </si>
  <si>
    <t>এক ধর্মীয় গোষ্ঠী মন্দিরে বোমা হামলা চালায়, ২৯ জন নিহত হন।</t>
  </si>
  <si>
    <t>এত সাহস পাচ্ছে কোথা থেকে? প্রিয় বাংলাদেশী ভাই ও বোনেরা, তার ইউটিউব চ্যানেল বন্ধ করার ব্যবস্থা নিন, না হলে রাস্তায় নেমে প্রতিবাদ করুন।</t>
  </si>
  <si>
    <t>শেরপুরের আশেপাশের বিভিন্ন হিন্দু অধ্যুষিত গ্রাম যেমন লক্ষনপুর,মুচেরের চর,চর শেরপুর ঝাঁকাটা,ভতসনা,সাপমারি প্রভৃতি গ্রামের হিন্দুদের উপর নির্বিচারে হামলা শুরু হয়।হিন্দুদের বাড়িঘর লুটপাট করে আগুন জ্বালিয়ে দেয়া হয়।</t>
  </si>
  <si>
    <t>পোগোতিশীল দালালদের একটা বিশাল ব্যাকআপ গ্রুপ তৈরি হয়েছে। সুড্ডানির্ফোলারা কিছুদিন পরপরই ৯০% সংখ্যাগরিষ্ঠ মুসলিমদের কালচার , ধর্মীয় বিধিনিষেধ এসব নিয়ে উসকাতে থাকবে , হিন্দু মুসলিম ভাতৃত্ববোধকে প্রশ্নের মুখে ফেলবে।</t>
  </si>
  <si>
    <t>চাঁপাইনবাবগঞ্জে প্রাচীন কালীমন্দিরের দরজায় লাঠি দিয়ে আঘাত করে ঢুকে প্রায় সব প্রতিমার চোখ ও নাক ভেঙে ফেলা হয়।</t>
  </si>
  <si>
    <t>যদি আপনি ব্যক্তি ও সম্প্রদায়ের মধ্যে ন্যায়বিচার ও সমতার পক্ষে অবস্থান নেন, তাহলে আপনি সত্যিকারের মানবতাবাদী</t>
  </si>
  <si>
    <t>কক্সবাজারে ধর্মীয় উত্তেজনার কারণে সংঘর্ষে ৪১ জন নিহত হন। পুলিশ পরিস্থিতি নিয়ন্ত্রণের চেষ্টা করলেও সহিংসতা বন্ধ হয়নি। সরকার সবাইকে শান্ত ও দায়িত্বশীল থাকার আহ্বান জানায়। অনেক সংখ্যালঘু পরিবার নিরাপত্তার জন্য আশ্রয় খুঁজে নেয়।</t>
  </si>
  <si>
    <t>ধর্মীয় বিদ্বেষে আত্মঘাতী হামলা ও হত্যাযজ্ঞ চালিয়ে শতাধিক নিরীহ তীর্থযাত্রী ও পণ্ডিতকে হত্যা করা হয়েছিল এবং অনেকেই প্রাণ রক্ষায় পালিয়ে বাঁচতে বাধ্য হয়েছিল।</t>
  </si>
  <si>
    <t>২০২১ সালের মার্চ মাসে এক ধর্মীয় গোষ্ঠী সংখ্যালঘুদের বাজারে আগুন দিয়ে ৩৪ জন নিহত হয়; তাদের দোকান ও বাড়িঘর ভস্মীভূত হয়।</t>
  </si>
  <si>
    <t>ঢাকাদক্ষিণ এবং কাচুয়ারি থেকে অনেক প্রখ্যাত ব্রাহ্মণ পরিবারের মেয়েদের জোরপূর্বক অপহরণ করে মুসলিমরা। হবিগঞ্জ সাব-ডিভিশনের চুনারঘাট পুলিশ স্টেশনের নিয়ন্ত্রণাধীন এলাকার কেতন দাস, অশ্বিনী নাথ, বীরেন্দ্র নাথ সহ নাম না জানা আরও অনেক হিন্দু পরিবারের সকল সদস্যদেরকে ঘৃণ্য উপায়ে ধর্মান্তর করে মুসলিমরা।</t>
  </si>
  <si>
    <t>হাজার হাজার নির্দোষ মানুষকে ধর্মীয় ভেদাভেদের নামে পুড়িয়ে হত্যা করা হয়। শাস্তির মধ্যে সবচেয়ে নিষ্ঠুর ছিল ভূগর্ভস্থ গর্তে বন্দী রাখা, যেখানে তারা প্রাণ হারাতো।</t>
  </si>
  <si>
    <t>ধর্মের নামে বিভেদ , উগ্রতা, মারামারি, কাটাকাটি, দেশ ভাগ এ সব সেই 1946/47 থেকে বিশেষ ভাবে শুরু হয়েছে নেহরু আর গান্ধীর ইচ্ছাকৃত ভূলে । বিষ বৃক্ষ তখনই রোপন করা হয়ে গেছে ।।এর থেকে নিস্তার পাওয়া বোধ হয় খুব সহজ হবে না ।</t>
  </si>
  <si>
    <t>ধর্মের নামে অন্ধ বিশ্বাসে জড়িয়ে তারা আত্মঘাতী হামলা চালাচ্ছে মৃত্যুকে তামাশা ভেবে অথচ জানে না এর পরিণামে তারা শুধু নিজেরই নয় শত নিরীহ প্রাণের নৃশংস হত্যাকাণ্ড ঘটাচ্ছে দেশে দেশে।</t>
  </si>
  <si>
    <t>মহান আল্লাহ তাঁর আসমান ও পৃথিবীবাসী সবাইকে শাস্তি দিতে পারেন। তার পরও তিনি তাদের প্রতি অন্যায়কারী হবেন না। পক্ষান্তরে তিনি যদি তাদের সবাইকে দয়া করেন তাহলে তাঁর এই দয়া তাদের জন্য তাদের নেক আমল হতে উত্তম হবে।</t>
  </si>
  <si>
    <t>সমস্ত হিন্দুদের বাড়িতে নোটিশ স্থাপিত হয়েছিল, তাদের 24 ঘন্টার মধ্যে চলে যেতে বা মরতে বলা হয়েছিল। ইসলামী মৌলবাদীদের দ্বারা নিপীড়নের কারণে 300,000 থেকে 500,000 পন্ডিত স্থানান্তরিত হয়েছে ।</t>
  </si>
  <si>
    <t>২০২১ সালের আগস্ট মাসে এক গোষ্ঠী ধর্মীয় বই বিতরণের জন্য এক যুবককে পিটিয়ে হত্যা করে; সহিংসতায় ২০ জন প্রাণ হারায়।</t>
  </si>
  <si>
    <t>৬২৩-৬২৪ সালের মধ্যে মুসলিম ও কুরাইশদের মধ্যে খন্ডযুদ্ধ হয়, যেগুলোর মধ্যে বদর যুদ্ধ ছিল প্রথম বড় যুদ্ধ, যেখানে মুসলিমরা বিজয় লাভ করে।</t>
  </si>
  <si>
    <t>উধয়নিধির বক্তব্য সনাতন ধর্মের প্রতি তার ঘৃণার প্রকাশ। তিনি বিধায়ক ও মন্ত্রী হলেও, সনাতন ধর্ম নিয়ে ইচ্ছাকৃতভাবে প্ররোচনামূলক ও অবমাননাকর মন্তব্য করেছেন, যা ধর্মীয় গোষ্ঠীগুলির মধ্যে শত্রুতা তৈরি করার উদ্দেশ্যেই করা।</t>
  </si>
  <si>
    <t>৫৭টি মুসলিম রাষ্ট্র নিয়ে "O,I,C" গঠিত। যদি মুসলমানদের বিপদে তারা গর্তে লুকিয়ে থাকে, তবে প্রয়োজন নেই এর। ভেঙে দেওয়া হোক, এসব লোক দেখানো সংস্থা কে।</t>
  </si>
  <si>
    <t>ধর্মীয় অনুভূতিতে আঘাতের’ অভিযোগে শিক্ষকের বাড়িতে হামলা, এইচআরএফবির উদ্বেগ</t>
  </si>
  <si>
    <t>তার বক্তব্য হচ্ছে, যেখানে যুগ যুগ ধরে তারা সম্প্রীতির সাথে বসবাস করছেন, সেখানে একটি ফেসবুক পোস্টকে কেন্দ্র করে এ ধরনের হামলার ঘটনা ঘটতে পারে না। তার ধারণা - ধর্মকে ব্যবহার করে পরিকল্পিতভাবে ঘটনাটি ঘটানো হয়েছে ।</t>
  </si>
  <si>
    <t>কুরআনে আল্লাহ মানবজাতিকে তাঁর ইবাদত করার জন্য সৃষ্টি করেছেন এবং তাঁর নীতি ও আদর্শ অনুসরণ করার মাধ্যমে শান্তি ও মুক্তি অর্জন করা সম্ভব।</t>
  </si>
  <si>
    <t>বাগেরহাটে মুসলিম পরিবার গির্জায় দান করলে তাদের সমাজচ্যুত ঘোষণা করে স্থানীয় প্রভাবশালী গোষ্ঠী।</t>
  </si>
  <si>
    <t>ধর্মীয় কুসংস্কারবশত সতীদাহের নামে নারীদের আত্মহত্যায় প্ররোচনা বা পুড়িয়ে হত্যার প্রচেষ্টা এখনো একটি নৃশংসতা হিসেবে বিবেচিত হয় যার জন্য রয়েছে মৃত্যুদণ্ড বা কারাদণ্ডের বিধান।</t>
  </si>
  <si>
    <t>ধর্মীয় কারণেই নিরীহ মানুষদের গুলি করে হত্যা করা হয়েছিল অথচ তখন মানবতার বুলি আওড়ানো মানুষদের কণ্ঠস্বর একবারও শোনা যায়নি।</t>
  </si>
  <si>
    <t>হিজরতের পর কুরআনে মুসলিমদের অস্ত্রধারণের অনুমতি দেওয়া হয় এবং মুহাম্মাদ (সা.) কুরাইশদের বিরুদ্ধে আবওয়া সামরিক অভিযান পরিচালনা করেন।</t>
  </si>
  <si>
    <t>রাজাকার বাহিনী শুধু হিন্দু বলেই ৯০ নিরীহ মানুষকে ধরে নিয়ে গিয়ে বাজার ঘেরাও করে নির্যাতন চালায়।</t>
  </si>
  <si>
    <t>হিন্দুপ্রধান বাঁশপাড়া, রামপুর, মধুপুর, শ্রীচন্দ্রপুর, বাশিকপুর, চাকবস্তা, শিবপুর, বালিগঞ্জ ইত্যাদি গ্রামগুলোকে পুড়িয়ে ছাই করে দেয়।[১৪] বিভিন্নসূত্রে জানা যায় কমপক্ষে ৪৫ জন নিরীহ হিন্দুকে হত্যা করে মুসলিমরা এবং ২০৫টা বাড়ি পোড়ানোর পাশাপাশি বিপুল পরিমাণ সম্পদ লুটপাট করে তারা।</t>
  </si>
  <si>
    <t>কুমিল্লায় ধর্মীয় গোষ্ঠীর সংঘর্ষে ৪৮ জন নিহত হন। পুলিশ দ্রুত এলাকা ঘিরে রাখে এবং সহিংসতা নিয়ন্ত্রণের চেষ্টা করে, তবে অবস্থা নিয়ন্ত্রণের বাইরে চলে যায়। সরকার সকলকে শান্ত ও ধর্মীয় সহিষ্ণুতা বজায় রাখার জন্য আহ্বান জানায়। অনেক সংখ্যালঘু পরিবার নিরাপত্তার অভাবে গ্রাম ত্যাগ করে।</t>
  </si>
  <si>
    <t>বাংলাদেশের মুজাফফরনগর এলাকায় ২০১৩ সালে হিন্দু ও মুসলিম সম্প্রদায়ের মধ্যে সহিংস সংঘর্ষে ৬০ জনের বেশি নিহত ও হাজার হাজার ঘরছাড়া হয়।</t>
  </si>
  <si>
    <t>ইসলাম শুধু আল্লাহর সাথে সম্পর্ক নয়, সমাজে ন্যায় ও শান্তি প্রতিষ্ঠার দিকেও গুরুত্ব দেয়, যা একজন মানুষের আত্মিক ও সামাজিক জীবনে ভারসাম্য বজায় রাখতে সাহায্য করে।</t>
  </si>
  <si>
    <t>ধর্মের নামে বিভেদ ও সহিংসতার আগুন জ্বলে উঠলে অসংখ্য পরিবার তাদের প্রিয়জনকে হারানোর কষ্ট সহ্য করেছে।</t>
  </si>
  <si>
    <t>কোরআন শরিফ আমরা মুসলমানের জীবন কোরআন শরিফে আগুন দেওয়া মানে আমাদের গায়ে আগুন দেওয়া। আমারা সুইডেন কে নিন্দা জানাই</t>
  </si>
  <si>
    <t>ঝিনাইদহে নির্মীয়মাণ মন্দিরের নির্মাণ সামগ্রী নষ্ট করে দেয় এবং প্রতিমা তৈরির মাটি গাড়িতে তুলে নিয়ে যায়।</t>
  </si>
  <si>
    <t>২০১৮ সালের জুলাইতে এক গোষ্ঠী ধর্মীয় বিদ্বেষের কারণে সংখ্যালঘুদের স্কুল থেকে বিতাড়িত করে, বিক্ষোভ চলাকালীন পুলিশ গুলি চালিয়ে ২১ জন নিহত হয়।</t>
  </si>
  <si>
    <t>জিহাদির নামে ধর্মের অপব্যাখ্যা দিয়ে যারা আত্মঘাতী হামলা চালায় তাদের নির্মূল করতে ফিনাইল যেমন জীবাণুর জন্য, তেমনি কঠিন প্রতিরোধই প্রয়োজন এই ধর্মান্ধ হত্যাযজ্ঞ ঠেকাতে।</t>
  </si>
  <si>
    <t>এক সিনিয়র সাংবাদিক গৌরী লঙ্কেশকে মঙ্গলবার রাতে ব্যাঙ্গালোরে তাঁর বাড়ির সামনেই গুলি করে হত্যা করা হয়েছে। গৌরী লঙ্কেশ ঘোষিতভাবেই হিন্দু দক্ষিণপন্থীদের সমালোচক ছিলেন তাঁর লেখার মাধ্যমে।</t>
  </si>
  <si>
    <t>জামালপুরে এক গোষ্ঠী ধর্মীয় গোষ্ঠীর মধ্যে সংঘর্ষে ৩৩ জন নিহত হন; আহত হয় অনেকেই।</t>
  </si>
  <si>
    <t>কারণ কোনো হিন্দু যখন কুরআন অবমাননার নিন্দা করছে না, হিন্দুদের সংগঠনগুলোও বলছে না তারা এ ঘটনায় জড়িত নয়, তারা এ ঘটনার বিরোধী, তখন দালালের বাচ্চারা কোন কারণে বলে এটি তৃতীয় পক্ষের কাজ?</t>
  </si>
  <si>
    <t>রাসুল সা.-এর অবমাননা প্রশ্নে কোনো আপস নয়। বরং এ ব্যাপারে আপস করলে মুসলিম থাকার কোনো ইখতিয়ার নেই</t>
  </si>
  <si>
    <t>কুরআন নিয়ে কেউ অন্যায় করলে তা কোনো মুসলমান সহ্য করবে না। যারা ইসলাম নিয়ে কটুক্তি করে, তারা আল্লাহর কাছে ক্ষমা চাও, না হলে কঠিন আজাব অপেক্ষা করছে।</t>
  </si>
  <si>
    <t>ব্রাহ্মণ্য আগ্রাসনে বৌদ্ধদের রক্তে ভিজেছিল এই ভূমি, আর ধর্মান্তরে শান্তির মুখোশ পরা রাজারা বৌদ্ধ নিধনের ইতিহাস মুছে ফেলেছে, যেন বাংলাদেশে বৌদ্ধ ধর্ম কখনোই ছিল না।</t>
  </si>
  <si>
    <t>গোপালগঞ্জের বানিয়াচং ক্যাথলিক চার্চে বোমা হামলায় ৯ জন নিহত হন, যা বাংলাদেশে সংখ্যালঘু খ্রিস্টান সম্প্রদায়ের উপর সংঘটিত অন্যতম বড় হামলা।</t>
  </si>
  <si>
    <t>২০১৫ সালের ৭ আগস্ট, ব্লগার নীলাদ্রী চট্টোপাধ্যায়কে ঢাকায় তার বাসায় কুপিয়ে হত্যা করা হয়।</t>
  </si>
  <si>
    <t>ইসলামের পূর্ণাঙ্গ অর্থ শান্তি সম্প্রিতী বজায় রাখা তবে কিছু জনগোষ্ঠী নিজস্ব স্বার্থ হাসিলে ইসলাম ধর্ম-কে ব্যাবহার করে।</t>
  </si>
  <si>
    <t>সতীদাহে অংশ নেওয়া নারীরা বিশেষ পোশাক পরতেন এবং মৃত্যুর আগে গহনা বিতরণ করতেন।</t>
  </si>
  <si>
    <t>নোয়াখালীর হিন্দু নারীদের অবর্ণনীয় নির্যাতন সম্পর্কে লেখেন যে,সেখানে মেয়েদের অবস্থা নিকৃষ্টতম।তাদের অনেকেই নিজেদের স্বামীকে খুন হতে দেখেছে এবং স্বামীর হত্যাকারীরাই তাদেরকে ধর্মান্তরিত করে বিয়ে করেছে।</t>
  </si>
  <si>
    <t>ইসলাম ধর্ম ও মুসলিম বোনদের ছবি নিয়ে কটুক্তিকর পোস্ট করার জন্য সনাতনী আর্মি ভার্সন২.০ নামক নাস্তিক পেইজ রিমোভ করা হলো</t>
  </si>
  <si>
    <t>যারা টুপি পরে না, তারা মুসলমান বলার যোগ্য না, এসব মুখোশধারীদের মুসলিম সমাজ থেকে তাড়ানো উচিত।</t>
  </si>
  <si>
    <t>বাংলাদেশে গত এক বছরে এক হাজার ৪৫টি সাম্প্রদায়িক সহিংসতা-নির্যাতন-নিপীড়নের ঘটনা ঘটেছে এবং তাতে ধর্মীয় ও জাতিগত সংখ্যালঘু সম্প্রদায়ের অন্তত ৪৫ জন মারা গেছেন৷ হিন্দু বৌদ্ধ খ্রিস্টান ঐক্য পরিষদের প্রতিবেদনে এ তথ্য দেয়া হয়৷</t>
  </si>
  <si>
    <t>সকল প্রকার ধর্মীয় আলাপ এবং সাথে সাথে ধর্মীয় আক্রমণাত্মক আলাপকারীদের ব্যান দেওয়া হোক।মানুষ শুদ্ধ বিজ্ঞান নিয়ে যুক্তি সহকারে আলাপ করুক</t>
  </si>
  <si>
    <t>১১ মার্চ ২০২৩ বরগুনার আমতলীতে একটি প্রাচীন শিবমন্দিরে হানা দিয়ে শিবলিঙ্গটি ভেঙে দেয় দুর্বৃত্তরা এবং মন্দির প্রাঙ্গণে পাথরের সিংহ মূর্তি চূর্ণবিচূর্ণ করে ফেলে</t>
  </si>
  <si>
    <t>নোয়াখালীতে এক গুজব ছড়িয়ে সংখ্যালঘু সম্প্রদায়ের কয়েকটি বাড়িঘরে অগ্নিসংযোগ করা হয়। মন্দিরের ভিতরে রাখা পবিত্র গ্রন্থ ছিঁড়ে ফেলা হয়।</t>
  </si>
  <si>
    <t>এক মেয়েকে অপহরণ করে ধর্ষণ করা হয় এবং বিকৃত ও জ্ঞানশূন্য অবস্থায় বাড়িতে ফেরত পাঠানো হয়। ১৫ ফেব্রুয়ারির রাতে ঢাকা দক্ষিণে দুই অবিবাহিত মেয়েকে ধর্ষণ করা হয়।</t>
  </si>
  <si>
    <t>বৈদিক গ্রন্থে সমর্থন সহ আচার ছিল "প্রতীকী আত্মহনন" যা বিশ্বাস করা হয় যে একজন বিধবা তার স্বামীর মৃত্যুতে সঞ্চালনের জন্য প্রয়োজন মর্যাদাসম্পন্ন, বিধবা পরবর্তীতে তার স্বামীর ভাইকে বিয়ে করে।</t>
  </si>
  <si>
    <t>পুতিনের কিছু কাজ ভালো লাগে; দোয়া করি আল্লাহ তাকে কোরআনের সম্মান দেখানোর জন্য শান্তি দিন।</t>
  </si>
  <si>
    <t>বর্তমানে আমরা মুসলিম দেশগুলো হয়ে গেলাম পশ্চিমাদের দালাল তাই আজ মুসলিম ভাইদের এই অবস্থা হে আল্লাহ তুমি সর্ব শক্তিমান তুমি সকল মুসলমানদের হেফাজত কর আমিন</t>
  </si>
  <si>
    <t>লাখ মানুষকে দেখিয়ে ওদের অপমান করার অধিকার আপনাকে কে দিছে? রোজা না রাখলে আল্লাহর কাছে জবাবদিহি করতে হবে,, মানুষের কাছে নয়।</t>
  </si>
  <si>
    <t>আর খোলা বিদ্যুৎ উৎপাদন কোম্পানিগুলি।যেখানে ধর্ম না দেখে সবার ঘরে বিদ্যুৎ পৌছে দিতে আমরা বদ্ধ পরিকর</t>
  </si>
  <si>
    <t>তিনি তাঁর আত্মজীবনীতে লিখেছেন, "আমাকে লোকে প্রায়ই জিজ্ঞাসা করে যে, আমি কখন এবং কীভাবে মুসলিম হলাম।"</t>
  </si>
  <si>
    <t>হিন্দুদের উপর ১৯৯০ সালের অবর্ণনীয় অত্যাচারের ফলে অনেক জায়গা হিন্দু শুন্য হয়ে যায় এবং বহুস্থানের হিন্দুরা বাস্তুচ্যুত হয়ে পড়ে। চট্টগ্রামের পাহাড়তলীর হিন্দুরা সহায়-সম্বল,বাড়ি-ঘর সব হারিয়ে পাহাড়ের উপর কৈবল্যধাম মন্দিরের শরণার্থী শিবিরে আশ্রয় গ্রহণ করে।</t>
  </si>
  <si>
    <t>ইসলাম অবমাননরা ঘটনা ঘটলে দোষীদের বিরুদ্ধে কথা না বলে যারা মুসলমানকে ভূগোল বোঝাতে আসে তারাও এসব ঘটনার জন্য দায়ী।</t>
  </si>
  <si>
    <t>যা পেয়েছি আর যা হারিয়েছি সব কিছুর জন্য আলহামদুলিল্লাহ্‌,,,, আল্লাহ যা করেন ভালোর জন্যই করেন কারণ আল্লাহর হুকুম ছাড়া গাছের একটা পাতাও নড়ে না</t>
  </si>
  <si>
    <t>ঐতিহাসিকদের মতে রাসূলুল্লাহ সা জীবদ্দশায় বহু যুদ্ধ পরিচালনা করেছেন যা ছিল আত্মরক্ষা ও শান্তি প্রতিষ্ঠার অংশ তাঁর জীবন ছিল সাহস ও আল্লাহর প্রতি পূর্ণ আস্থার প্রতীক।</t>
  </si>
  <si>
    <t>ধর্মীয় রীতির নামে স্বামীর মৃত্যুর পর বিধবাদের জীবন্ত দগ্ধ হয়ে আত্মহত্যা করতে বাধ্য করা হতো এবং যারা তা মানতে অস্বীকৃতি জানাত তাদের সমাজে অপমান ও লাঞ্ছনার শিকার হতে হতো।</t>
  </si>
  <si>
    <t>১৯৮৭ সালে হাশিমপুরায় ধর্মীয় সহিংসতায় অনেক নিরীহ মানুষকে হত্যা করা হয়। ২০১৫ সালে আদালত ১৬ অভিযুক্তকে প্রমাণের অভাবে খালাস দেয়।</t>
  </si>
  <si>
    <t>ধর্মীয় নিপীড়নের আতঙ্কে একের পর এক আত্মহত্যা করছে নিরীহ মানুষ, বিদায়ের আগে গান গেয়ে কেঁদেছে যারা, তারা জানে কতটা নির্মম এই মৃত্যু আর কতটা নিষ্ঠুর এই দেশ।</t>
  </si>
  <si>
    <t>এ ঘটনায় মোট ৬৬টি পরিবার আক্রান্ত হয়। এসব পরিবারের ৭টি টিনের বাড়ি, ৯টি ইটের তৈরি বাড়ি, ৪টি মাটির ঘর, ২টি দোকানসহ প্রায় ২৫টি বাড়ি ও দোকান আগুনে পুড়িয়ে দেয় দুর্বৃত্তরা। এসব বাড়িতে অগ্নি সংযোগ ছাড়াও লুট-পাট ও মন্দির ভাঙচুর করা হয়। হিন্দুরা প্রাণ বাঁচাতে গ্রাম ছেড়ে পালায়।</t>
  </si>
  <si>
    <t>সেলাঙ্গোর রাজ্যের সুবাং এবং শাহ আলমের ভোক্তা সমিতির সভাপতি মুসলিম অধ্যুষিত শহর শাহ আলমের স্থানীয় কর্তৃপক্ষকে ১০৭ বছরের পুরনো হিন্দু মন্দির ভেঙে ফেলতে সাহায্য করে।</t>
  </si>
  <si>
    <t>গৌতম বুদ্ধ ঠিক বলেছেন কারণ যাঁরা ঈশ্বর কে দেখেছেন তাঁরা কোনদিন দিন ও কিছু স্পষ্ট ভাবে বলেন না। কারণ ঈশ্বর ধরা ছোঁয়ার বাইরে। তাঁকে বলা যায় না</t>
  </si>
  <si>
    <t>২০১৯ সালের জানুয়ারিতে এক গোষ্ঠী ধর্মীয় গোষ্ঠী সংখ্যালঘুদের বিরুদ্ধে হামলা চালিয়ে ৩৫ জন নিহত হয়।</t>
  </si>
  <si>
    <t>ইসলামে দয়া ও ক্ষমা গুরুত্বপূর্ণ। নবী (সা.) সর্বদা তার বিরোধীদের ক্ষমা করে দিয়েছেন।</t>
  </si>
  <si>
    <t>১ অক্টোবর ঢাকায় একটি সশস্ত্র মুসলিম জনতা বাংলাদেশে অবস্থিত একটি বিদেশি দূতাবাসে হামলা চালায় এবং দূতাবাসের বাইরে অপেক্ষমান এক হিন্দু ভদ্রলোককে নির্মমভাবে পিটিয়ে আহত করে; এরপর সারা ঢাকায় সান্ধ্য আইন জারি করা হয়</t>
  </si>
  <si>
    <t>আপনি পূজা করেন, পূর্ণিমা পালন করেন বা বড়দিন পালন করেন বা সাংস্কৃতিক অনুষ্ঠানের নামে বেলেল্লাপনা করেন তাদের কোন সমস্যা নাই কিন্তু আপনি কোরআন তেলওয়াত করতে যান তাদের চোদ্দগুষ্টির পু**কি জ্বলে ছিঁড়ে যাবে।</t>
  </si>
  <si>
    <t>প্রথম প্রধান ধর্মীয় যুদ্ধটি দুই সম্প্রদায়ের মধ্যে সংঘটিত হয়। জয়ের ফলে মুসলিমদের ক্ষমতা বৃদ্ধি পায়।</t>
  </si>
  <si>
    <t>আল্লাহর আদেশ মেনে চললে আমরা পার্থিব জীবনে শান্তি ও আধ্যাত্মিক শান্তি লাভ করি, এবং পরকালে আল্লাহর রহমত লাভ করি।</t>
  </si>
  <si>
    <t>বাংলাদেশে মুসলিমদের সাংস্কৃতিক কেন্দ্র লক্ষ্য করে হামলা চালানো হয়, এতে ধর্মীয় পাঠদান ব্যবস্থা ক্ষতিগ্রস্ত হয় এবং শিক্ষার্থীরা আহত হয়।</t>
  </si>
  <si>
    <t>যখন তারা ধর্ম নিয়ে কথা বলে, আমি তাদের সততা প্রশ্ন করি।</t>
  </si>
  <si>
    <t>রংপুরের এক গ্রামে ধর্মীয় গোষ্ঠী সংঘর্ষে ৩৯ জন নিহত হয়; ঘটনার পর এলাকাটি টুঙ্গে নিরাপত্তা ব্যবস্থা নেওয়া হয়।</t>
  </si>
  <si>
    <t>ধর্ম মানে কেবল আচার নয়, বরং নৈতিক মূল্যবোধের চর্চা।</t>
  </si>
  <si>
    <t>নামকরা শহরের চাকচিক্যে ঈর্ষান্বিত হয়ে ব্রাহ্মণরা এই কুৎসা রটায় যে এই শহরে মৃত্যু হলে সে সরাসরি নরকে চলে যাবে কিংবা পরজন্মে গাধা হয়ে জন্মাবে – কিন্তু ব্রাহ্মণীয় পবিত্র নগর কাশিতে মৃত্যু হলে সে সরাসরি স্বর্গে চলে যাবে।</t>
  </si>
  <si>
    <t>ইউরোপীয় ভ্রমণকারীর বিবরণ অনুসারে, পঞ্চদশ শতাব্দীতে মেরগুই, বর্তমানের চরম দক্ষিণ মায়ানমারে, বিধবা পোড়ানোর প্রচলন ছিল।</t>
  </si>
  <si>
    <t>নেত্রকোনায় হিন্দু ও মুসলিম সম্প্রদায়ের মধ্যে সন্ত্রাসী হামলা ও সংঘর্ষে ৩৫ জন নিহত হয়। আহত হয় অনেকেই। সংঘর্ষের ফলে গ্রামের অধিকাংশ বাড়িঘর ধ্বংসপ্রাপ্ত হয় এবং বহু পরিবার গৃহহীন হয়।</t>
  </si>
  <si>
    <t>নানুয়া দীঘি থেকে প্রায় এক কিলোমিটার দূরে শহরের চকবাজার এলাকায় (কাপুড়িয়াপট্টি) শত বছরের পুরনো চাঁন্দমনি রক্ষাকালী মন্দির। চাঁন্দমনি কালী মন্দিরে বেলা ১১টা থেকে ৩টা পর্যন্ত তিন দফায় হামলা করা হয়। উক্ত মন্দিরে চার ঘণ্টায় ৩ বার হামলা করা হয়।</t>
  </si>
  <si>
    <t>কিশোরগঞ্জে ধর্মীয় দাঙ্গায় ৪৫ জন প্রাণ হারায়। পুলিশ সহিংসতা দমনে ব্যর্থ হলেও সরকার শান্ত থাকার আহ্বান জানায়। বহু পরিবার নিরাপত্তার জন্য গ্রাম ত্যাগ করে।</t>
  </si>
  <si>
    <t>বৌদ্ধ ধর্মাবলম্বীরা অনেক সময় অন্য ধর্মের মানুষদের নিয়ে অবজ্ঞাসূচক মন্তব্য করে যা সমাজে বিদ্বেষ সৃষ্টি করে।</t>
  </si>
  <si>
    <t>বেইলী রোড অগ্নিকাণ্ডে নিহতের ধর্ম নিয়ে বিভ্রান্তি চলছে। দাহ হবে না কবর হবে—এ নিয়ে দ্বন্দ্ব কেন?</t>
  </si>
  <si>
    <t>১৭ অক্টোবর ২০২৩ ঢাকার নবাবগঞ্জে কালীমন্দিরে ঢুকে প্রতিমার হাতে থাকা খড়গ এবং সিংহমূর্তি ভাঙচুর করা হয়</t>
  </si>
  <si>
    <t>বাংলাদেশে ধর্ম অবমাননার গুজবে কয়েকদিন ধরে যেসব ঘটনা ঘটেছে, সেক্ষেত্রে সংখ্যালঘুদের টার্গেট করা হচ্ছে বলে হিন্দু-বৌদ্ধ-খ্রিস্টান ঐক্য পরিষদ অভিযোগ করেছে।</t>
  </si>
  <si>
    <t>ভাগ্যের ভালো ও মন্দের ব্যাপারে মুমিন সন্তুষ্ট থাকে। কখনো তাকে অপছন্দের কোনো বিষয় স্পর্শ করলেও সে তা নিয়ে প্রশ্ন উত্থাপন করে না। কেননা আল্লাহর নির্দেশ হলো, ‘তিনি (আল্লাহ) যা করেন সে বিষয়ে তাঁকে প্রশ্ন করা যাবে না, বরং তাদেরকেই প্রশ্ন করা হবে। ’</t>
  </si>
  <si>
    <t>বাড়িয়া ও নিকটবর্তী কামারিয়ায় গণহত্যায় প্রায় ২০০ বাঙালি হিন্দু নিহত ও কয়েক শতাধিক আহত হন।</t>
  </si>
  <si>
    <t>ধর্ম মানুষের মধ্যে নৈতিকতা এবং আদর্শের বিকাশ ঘটায়। এটি তাকে সঠিক পথে চলতে এবং জীবনের প্রতি সচেতন থাকতে সহায়তা করে।</t>
  </si>
  <si>
    <t>সাম্প্রদায়িক সহিংসতায় ২৩টি হত্যাকাণ্ডের অভিযোগ উঠলেও পুলিশের তদন্তে কেউ হত্যার প্রমাণ পাওয়া যায়নি বলে প্রধান উপদেষ্টার প্রেস উইং জানায়।</t>
  </si>
  <si>
    <t>ইসলাম ধর্ম ও মহানবী হযরত মোহাম্মদ (স.) নিয়ে কটুক্তি করে সামাজিক যোগাযোগ মাধ্যম ফেসবুকে মন্তব্য করার অভিযোগ</t>
  </si>
  <si>
    <t>সেতুর ওপর ধর্মীয় তীর্থযাত্রী হিন্দুদের উপর বর্বর হামলায় বহুজন নিহত হন এবং অনেকে প্রাণ বাঁচাতে নদীতে ঝাঁপ দিয়ে আত্মহত্যা করতে বাধ্য হন।</t>
  </si>
  <si>
    <t>সকল সম্মানিত সদস্যদের বিনীতভাবে অনুরোধ জানাচ্ছি, বিতর্কের সৃষ্টি হয় এমন কোন ধর্মীয় পোস্ট আমরা এখানে শেয়ার না দেয়ার চেষ্টা করবো সেটা যেকোন ধর্মেরই হউক</t>
  </si>
  <si>
    <t>১০ মে ২০২৪ সিলেটের জৈন্তাপুরে একটি পুরনো শিবমন্দিরে আগুন লাগিয়ে শিবলিঙ্গ সহ একাধিক মূর্তি ছাই করে দেয় দুর্বৃত্তরা ঘটনাস্থলে তারা ধর্মীয় অবমাননামূলক বার্তাও লিখে যায়</t>
  </si>
  <si>
    <t>প্রান্তিক মসজিদ ভেঙে ফেলা হয়েছে এমন গুজব ছড়িয়ে পরার পরে ১৯৯০ সালের অক্টোবরের শেষে ও নভেম্বরের প্রথম দিকে বাংলাদেশে বাঙালি হিন্দুদের বিরুদ্ধে ধারাবাহিক আক্রমণ ঘটে।</t>
  </si>
  <si>
    <t>আমি যে ইসলাম নিয়ে পড়াশোনা করি, এমনকি তারা আমাকে প্রেইজ করতো। কক্ষণো তাদের সাথে কোন দুই কথা হয়নি। ইন্টার্নির সময় দুইজন হিন্দু ব্যাচমেট রোস্টারমেট ছিলো আমাদের। গাইরে মাহরাম ডিস্ট্যান্স মেইন্টেইন করে যতটুকু ভালো ব্যবহার সম্ভব, করেছি। যদিও তাদের একজনের সাথে কিছু চ্যালেঞ্জিং মুহূর্ত হয়েছিলো, তবে আমি সবসময় আমার দায়িত্ব পালন করার চেষ্টা করেছি।</t>
  </si>
  <si>
    <t>কিশোরগঞ্জে ধর্মীয় গোষ্ঠীর সংঘর্ষে ৪৫ জন প্রাণ হারায়। পুলিশ সহিংসতা দমনে ব্যর্থ হলেও সরকার শান্তি ও দায়িত্বশীলতা বজায় রাখার আহ্বান জানায়। অনেক পরিবার নিরাপত্তার কারণে গ্রাম ত্যাগ করে।</t>
  </si>
  <si>
    <t>গোপালগঞ্জে সনাতন ধর্মীয় এক আখড়ায় ঢুকে রাধা-কৃষ্ণের মূর্তিগুলো হাতে ধরে মাটিতে আছড়ে ফেলা হয়।</t>
  </si>
  <si>
    <t>মাদ্রাসার শিক্ষক হত্যা ঘটনার ফলে ধর্মীয় উত্তেজনা বেড়ে ধর্মনিরপেক্ষতা নিয়ে বিতর্ক তৈরি হয়েছে।</t>
  </si>
  <si>
    <t>২০২১ সালের ফেব্রুয়ারিতে এক গোষ্ঠী সংখ্যালঘুদের ওপর কর চাপিয়ে দেয়; দিতে না পারলে তাদের বাড়িঘর ধ্বংস করা হয়; এতে ২৬ জন নিহত হন।</t>
  </si>
  <si>
    <t>২০২০ সালের জুন মাসে এক গোষ্ঠী ধর্মীয় উগ্রবাদীরা মেয়েদের খেলাধুলা নিষিদ্ধ করে এবং যারা খেলতে যায় তাদের ওপর সহিংসতা চালিয়ে ১৬ জন নিহত করে।</t>
  </si>
  <si>
    <t>হিন্দু সম্প্রদায়ের কিছু অংশ ধর্মীয় জ্ঞানে পিছিয়ে থাকার কারণে অন্য ধর্মাবলম্বীদের বিরুদ্ধে অবজ্ঞাসূচক এবং বিদ্বেষপূর্ণ বক্তব্য ছড়ায়।</t>
  </si>
  <si>
    <t>ধর্মের নামে আত্নহত্যাকারীদের নরকে পাঠানোর বিধান যতটা নিষ্ঠুর, ততটাই মর্মান্তিক যখন ধর্মীয় নির্যাতনে পীড়িত অসহায় মানুষ জীবন থেকে পালিয়ে নিজেই নিজেকে মেরে ফেলে।</t>
  </si>
  <si>
    <t>সবুর খান ও চামকুরি ইউনিয়নের চেয়ারম্যানসহ তাদের দলের সদস্যরা পরাজয়ের জন্য হিন্দুদের দায়ী করে হুমকি ও ভয়-ভীতি সৃষ্টি করে; হজরতবাল ঘটনার গুজব ছড়িয়ে খুলনায় হিন্দু নিকেশের চেষ্টা করে।</t>
  </si>
  <si>
    <t>আল্লাহ ও রাসুলকে দেখতে হলে, এটা কুরআনে লেখা আছে। যার মধ্যে পাওয়ার সৌভাগ্য হয়েছে, সে জান্নাতের দ্বারপ্রান্তে পৌঁছে গেছেন।</t>
  </si>
  <si>
    <t>একটি ছোট্ট হাদীস আছে:- তোমার যার সাথে মোহাব্বত তাঁর সাথেই কেয়ামত।</t>
  </si>
  <si>
    <t>কিছু লোক কাশিমপুর পশ্চিমপাড়ার ব্যবসায়ী সুবল দাসের পারিবারিক মন্দিরে এবং স্থানীয় পালপাড়া নামাবাজার সর্বজনীন মন্দিরে হামলার ঘটনা ঘটে। হামলার সাথে যুক্ত থাকার জন্য ঘটনাক্রমে ২০ হামলাকারীকে আটক করে পুলিশের নিকট হস্তান্তর করা হয়।</t>
  </si>
  <si>
    <t>২০১৪ সালের নির্বাচনের পর ২১ জেলায় প্রায় ১৬০ হিন্দু পরিবারের উপর আক্রমণ ঘটে, যার ফলে প্রায় ৪০ লক্ষ টাকার সম্পত্তি ক্ষতিগ্রস্ত হয়।</t>
  </si>
  <si>
    <t>২০২০ সালে রংপুরের এক গ্রামে ফেসবুকে ধর্ম অবমাননার অভিযোগ তুলে উগ্র জনতা হিন্দু পাড়ায় আগুন দেয় এবং মন্দির ভাঙচুর করে। স্থানীয় প্রশাসন পরে পরিস্থিতি নিয়ন্ত্রণে আনে।</t>
  </si>
  <si>
    <t>মুসলমানিত্বের জোর দেখাতে গিয়ে কেউ মন্দিরে আঘাত করবেন না। হিন্দু ভাইদের প্রতি কোনো অন্যায় করবেন না। হ্যাঁ,এটাই আমাদের ইসলামের সৌন্দর্য।</t>
  </si>
  <si>
    <t>কালেমা খচিত পতাকার নিচে AK-47 এর চিহ্ন, আর পেছন থেকে অস্ত্র হাতে কথিত সন্ত্রাসীরা বেরিয়ে আসছে। তারা সুন্নতি পোশাকে “নারায়ে তাকবির” ও “আল্লাহু আকবর” স্লোগান দিচ্ছে, চারপাশে আরবি লেখা রয়েছে।</t>
  </si>
  <si>
    <t>আকবর সতীদাহের বিরোধিতা করলেও বিধবাদের স্বেচ্ছামৃত্যুতে প্রশংসা জানান যা ধর্মীয় বিশ্বাসের নামে আত্মহত্যা ও পুড়িয়ে মারার এক নিষ্ঠুর প্রথাকে দীর্ঘদিন বৈধতা দিয়েছিল দক্ষিণ এশিয়ার সমাজে।</t>
  </si>
  <si>
    <t>ধর্মের শ্রেষ্ঠত্ব হাজির বা প্রমাণ করা আর একটি লক্ষণীয় বিষয়। ধর্ম নিয়ে বাড়াবাড়ি প্রায় সব ধর্মের মানুষের মাঝেই দেখা যায়। এক পর্যায়ে আর কোনো ধর্ম থাকবে না, তার ধর্মই বিজয়ী হবে এবং সবাই এক ধর্মে চলে আসবে এ রকম অনেক বক্তব্য, মতামত বিভিন্নভাবে ছড়িয়ে দেওয়া হয়।</t>
  </si>
  <si>
    <t>মনে আছে, মুশফিক একবার কোরবানির ছুরি হাতে ছবি দেয়ায় তাকে এই ইসলামবিদ্বেষী অসাম্প্রদায়িকরা তুলোধুনো করে ছাড়ে।শেষ পর্যন্ত তিনি ছবিটি সরিয়ে নেন।তখন কোথায় ছিল তেনাদের অসাম্প্রদায়িকতা।</t>
  </si>
  <si>
    <t>পটুয়াখালিতে ধর্মীয় বিদ্বেষের কারণে সংঘর্ষে ৪৩ জন প্রাণ হারায়। পুলিশ পরিস্থিতি নিয়ন্ত্রণের চেষ্টা করে, সরকার শান্ত থাকার আহ্বান জানায়। অনেক পরিবার নিরাপত্তার জন্য আশ্রয়হীন হয়।</t>
  </si>
  <si>
    <t>দেশ ভাগের আগে একটি গোষ্ঠী ইচ্ছাকৃত বিভেদ সৃষ্টি করে নিজেদের স্বার্থ হাসিলের চেষ্টা করেছিল। ভবিষ্যতের ঘটনা আমাদের পূর্বেই জানা ছিল।</t>
  </si>
  <si>
    <t>রাজনীতি যখন দুর্বল হয়ে পড়ে, তখন তা ধর্মের সাথে সম্পর্ক স্থাপন করে, যেটা রাজনীতিবিদরা ভালোভাবে বুঝে কিভাবে ধর্মকে সঠিকভাবে উপস্থাপন করতে হয়, ফলে খেলা আরো গঠনমূলক হয়ে ওঠে।</t>
  </si>
  <si>
    <t>ব্যক্তি স্বাধীনতার কথা যারা বলে, তারা বোরকা নিয়ে এত আপত্তি করে কেন, যখন এটি স্পষ্টভাবে ইসলামের ধর্মীয় বিধান?</t>
  </si>
  <si>
    <t>মনিরাম্পুরে মুসলমানদের ওপর অত্যাচার নির্যাতন চলছে, নবীর ব্যঙ্গচিত্র প্রদর্শিত হচ্ছে। নবীকে অপমান করা হচ্ছে। আমরা চুপ করে বসে থাকতে পারিনা।</t>
  </si>
  <si>
    <t>জানা গেছে, সাতক্ষীরা সদর উপজেলার আগরদাঁড়ি গ্রামের পেশাদার প্রতিমাশিল্পী রঞ্জন কুমার পালের বাড়ির কারখানায় গত সোমবার রাতে প্রতিমা ভাঙচুরের ঘটনা ঘটে।</t>
  </si>
  <si>
    <t>হিন্দুরা তাদের মূর্তির পায়ে কোরআন রেখেছে, তাতে তাদের ১টা চুল ও কেউ ছিরতে পরে নাই। মুসলমানরা এর প্রতিবাদ করতে গিয়ে উল্টো মার খেয়ে আসলো।</t>
  </si>
  <si>
    <t>অভিযুক্ত ব্যক্তির গ্রেপ্তারের দাবিতে মানববন্ধন করা হয়। সন্ধ্যা সাড়ে সাতটার দিকে এ মানবন্ধন থেকে লোক জড়ো করে সুযোগ সন্ধানীরা দিঘলিয়া বাজারের হিন্দু সম্প্রদায়ের ১০টিরও বেশি দোকান ভাঙচুর ও লুটপাট করে।</t>
  </si>
  <si>
    <t>রংপুরের মুসলিম অধ্যুষিত এলাকায় উগ্রপন্থীদের হাতে শতাধিক মুসলিম নিহত হয় সাম্প্রদায়িক দাঙ্গায়।</t>
  </si>
  <si>
    <t>কিছু মুসলিম দেশ আবার নিজেদের দেশ থেকে অমুসলিমদের নিষিদ্ধ করে, যা প্রকৃত ইসলামের বিরোধী এবং অগ্রহণযোগ্য।</t>
  </si>
  <si>
    <t>যেখানে হিন্দুরা ছিলেন, মুসলিমরা সেখানে তাদের হত্যা শুরু করে। বিকেলের মধ্যে ঢাকার ৯০% হিন্দু দোকান ও ব্যবসা প্রতিষ্ঠান লুটপাট এবং আগুনে ধ্বংস করা হয়।</t>
  </si>
  <si>
    <t>কয়েকজন মানুষ বসে একসাথে ইফতারের মাধ্যমে পলিটিক্যাল এক্টিভিটি নিয়ে আলোচনা করতে পারে।</t>
  </si>
  <si>
    <t>১৯৭৬ সালের দলীল থাকা সত্ত্বেও কিছু ইসলামবিদ্বেষী হিন্দু গোষ্ঠী মসজিদের জমি দখল করতে উঠে পড়ে লেগেছে—এরা মসজিদ ধ্বংসের ষড়যন্ত্রে লিপ্ত।</t>
  </si>
  <si>
    <t>বরগুনায় গির্জার প্রাচীর ভেঙে দেয়া হয় এবং মাটিতে বিদ্বেষমূলক বার্তা লেখা কাগজ ফেলা হয়।</t>
  </si>
  <si>
    <t>১৪ জুন ফজরের আগে রাজাকাররা আদিত্যপুরে হামলা চালায়, মসজিদে আগুন দেয়, কোরআন শরীফ ছিঁড়ে ফেলে। পুরো গ্রাম ঘুমের মধ্যেই ধর্মীয় বর্বরতার শিকার হয়।</t>
  </si>
  <si>
    <t>২০০১ সালের অক্টোবর, নির্বাচনের পর সংখ্যালঘুদের উপর ব্যাপক হামলা হয়। বহু হিন্দু নারী ধর্ষণের শিকার হন, বাড়িঘর লুট ও অগ্নিসংযোগ করা হয়, এতে অন্তত ৪৫ জন নিহত হন।</t>
  </si>
  <si>
    <t>মানুষের ভাগ্যের ভালো ও মন্দ আল্লাহ কর্তৃক নির্ধারিত। আল্লাহ বলেন, ‘আমি সব কিছু সৃষ্টি করেছি নির্ধারিত পরিমাপে, আমার আদেশ তো একটি কথায় নিষ্পন্ন, চোখের পলকের মতো।</t>
  </si>
  <si>
    <t>১৯৯০ সালের ৩০ অক্টোবর থেকে ২ নভেম্বর পর্যন্ত, বাবরি মসজিদ ধ্বংসের গুজব ছড়িয়ে পড়ার পর ঢাকাসহ বিভিন্ন স্থানে হিন্দু সম্প্রদায়ের উপর হামলা চালানো হয়। শতাধিক মন্দির ও ঘরবাড়ি ধ্বংস করা হয়, বহু মানুষ আহত হয়, অন্তত ৩২ জন নিহত হন।</t>
  </si>
  <si>
    <t>অনেক খ্রিস্টান পরিবারকে জীবন্ত পুড়িয়ে মারা হয়েছিল। [ 8 ] সহিংসতার হুমকির মুখে হাজার হাজার খ্রিস্টানকে হিন্দু ধর্মে ধর্মান্তরিত করতে বাধ্য করা হয়েছিল।</t>
  </si>
  <si>
    <t>৭ জানুয়ারীর রাতে, মুখোশধারী মানুষরা যশোর জেলার মনিরামপুর উপজেলার হজরাইল ঋষিপল্লীর দুইটি হিন্দু বাড়িতে আক্রমণ চালায়। তারা পুরুষদের জিম্মি করে, নারীদের গণধর্ষণ করে।</t>
  </si>
  <si>
    <t>হজরত আনাস (রা.) থেকে বর্ণিত, রাসুল (সা.) বলেছেন, বিপদে পড়লেও কেউ মৃত্যুর কামনা করবেন না।</t>
  </si>
  <si>
    <t>লালমনিরহাটে ধর্মীয় বিদ্বেষের কারণে সংখ্যালঘুদের বাড়িঘর পুড়িয়ে দেওয়া হয়; এতে ২৬ জন নিহত হয়।</t>
  </si>
  <si>
    <t>গাইবান্ধায় হিন্দু মন্দিরে চলা আরতিতে পাথর ছুঁড়ে মারে কয়েকজন কিশোর, ঘটনাটি ভিডিও করে সামাজিক মাধ্যমে ছড়িয়ে দেয়।</t>
  </si>
  <si>
    <t>১৫ ফেব্রুয়ারি থেকে ১ মার্চ পর্যন্ত লৌহজং এবং দিঘালিতে হিন্দুদের উপর চালানো ১৫ টি ছুরিকাঘাতের রিপোর্ট আসে। ২৮ ফেব্রিয়ারি তারিখে সম্পূর্ণ দিঘালি বাজার আগুন দিয়ে পুড়িয়ে ছাই করে ফেলা হয়।</t>
  </si>
  <si>
    <t>২০১৭ সালের ফেব্রুয়ারিতে ধর্মীয় চাপে সংখ্যালঘুদের শিক্ষা প্রতিষ্ঠানে ভর্তির অনুমতি দেয়া হয় না, ফলে ১৯ জন আত্মহত্যা করে।</t>
  </si>
  <si>
    <t>ফেসবুকে ধর্ম অবমাননার গুজবে কুমিল্লার মুরাদনগরে হিন্দু ধর্মবলম্বীদের কয়েকটি বাড়িতে ভাঙচুর এবং অগ্নিসংযোগের ঘটনা ঘটেছে গত রোববার। এই ঘটনার পেছনে সংঘবদ্ধ কোন গোষ্ঠী রয়েছে বলে সেখানকার পুলিশ ধারণা করছে।</t>
  </si>
  <si>
    <t>ধেমাজি জেলার বিভিন্ন গ্রামে হিন্দু বাঙ্গালিদের উপর হওয়া নৃশংস অত্যাচারের তথ্যপ্রমাণ আছে।</t>
  </si>
  <si>
    <t>নরসিংদীর একটি গ্রামে শোভারানী বসু ও তার দুই কন্যাকে নির্যাতন ও হত্যা করা হয়। মুসলিমরা গ্রামে গ্রামে হত্যা, ধর্ষণ, লুটপাট ও অগ্নিসংযোগ চালিয়ে কমপক্ষে ৩৫০টি হিন্দু বাড়ি পুড়িয়ে দেয়।</t>
  </si>
  <si>
    <t>এক গির্জায় প্রার্থনার সময় উগ্রবাদীরা প্রবেশ করে গুলি চালায়, ফলে ১৮ জন খ্রিস্টান নিহত হয়। এ হামলার ভিডিও সামাজিক মাধ্যমে ছড়িয়ে পড়ে আতঙ্ক ছড়ায়। মোট নিহত: ১৮ জন।</t>
  </si>
  <si>
    <t>সত্য, অহিংসা, ধৈর্য — এই তিনটি গুণ যেকোনো ধর্মীয় মানুষকে মহান করে তোলে।</t>
  </si>
  <si>
    <t>সেদিন মুসলমানদের প্রতি ভুল ধারণা ও অবিশ্বাস ছিল, যদিও অনেক বৌদ্ধ ভাই বলেছিলেন সবাই একসঙ্গে ছিল এবং বিভেদ ছিল না।</t>
  </si>
  <si>
    <t>আরেকদিকে আছে বাংলাদেশের সর্বোচ্চ বিদ্যাপীঠ ঢাকা বিশ্ববিদ্যালয় যেখানে ২০২২ সালের টিএসসিতে তারাবির নামাজ আদায়কালে সন্ত্রাসীরা মুসল্লিদের পেটাই ছিল</t>
  </si>
  <si>
    <t>আজ সকালে স্থানীয় লোকজন প্রতিমাগুলো ভাঙা অবস্থায় পেয়ে প্রশাসন ও পুলিশকে খবর দেন। দেশের সাম্প্রদায়িক সম্প্রীতি বিনষ্ট করতেই এমন ঘটনা ঘটানো হয়েছে বলে তিনি দাবি করেন।</t>
  </si>
  <si>
    <t>দাফনের পরে কবরে মুনকার ও নকির নামে দুই ফেরেশতা মৃত ব্যক্তিদের বিশ্বাস পরীক্ষার জন্য জিজ্ঞাসাবাদ করেন।</t>
  </si>
  <si>
    <t>শরীয়তপুরে একটি হিন্দু স্কুলে পূজার উপকরণ নষ্ট করে ফেলার অভিযোগে অজ্ঞাতনামা কয়েকজনকে খুঁজছে প্রশাসন।</t>
  </si>
  <si>
    <t>মুসলিমদের গবাদিপশু লুট করে ধর্মীয় নিপীড়ন চালিয়েছিল কাফিরেরা, কিন্তু আল্লাহর সৈনিকরা তাদের ধাওয়া করেছিল, যাদের বিরুদ্ধে ইসলাম বিরোধিতাই ছিল একমাত্র উদ্দেশ্য। আজও বাংলাদেশে তাদের বংশধর সক্রিয়।</t>
  </si>
  <si>
    <t>একাধিক ধর্মীয় মতাদর্শের পার্থক্যকে কেন্দ্র করে সৃষ্ট সহিংসতার কারণে বহু জনগণ অকারণে মৃত্যুবরণ করেছে।</t>
  </si>
  <si>
    <t>শবে-বরাতের পবিত্র রাত সম্পর্কে যারা অবজ্ঞাসূচক মন্তব্য করে, আল্লাহ তাদের জ্ঞান দিন।</t>
  </si>
  <si>
    <t>২০২১ সালের অক্টোবর মাসে এক ধর্মীয় গোষ্ঠী এক মসজিদে আত্মঘাতী বোমা হামলা চালায়; এতে ৪০ জন নিহত হয়।</t>
  </si>
  <si>
    <t>ধর্মীয় শিক্ষা বাধ্যতামূলক এবং সমস্ত সরকারি স্কুলে যা পাঠ্যক্রমের অংশ। শিক্ষার্থীরা শ্রেণীকক্ষে যোগ দেয় যেখানে তাদের নিজস্ব ধর্মীয় বিশ্বাস শেখানো হয়।</t>
  </si>
  <si>
    <t>রাজশাহীতে এক বৌদ্ধ ভিক্ষুকে ‘ধর্মবিরোধী’ কাজের অভিযোগে প্রকাশ্যে হেনস্থা করে যুবক দল।</t>
  </si>
  <si>
    <t>হামলাকারীরা পালিয়ে যাওয়ার সময় হিন্দু সম্প্রদায়েরSeveral বসতবাড়ি ও পূজামণ্ডপে ভাঙচুর করে। পুলিশ ও র‌্যাব অভিযান চালিয়ে নয়জনকে আটক করে।</t>
  </si>
  <si>
    <t>আল্লাহ কুরআনে বলেছেন যে, ঈমান এবং ভাল কাজের মাধ্যমে মানুষ তার জীবনকে সঠিক পথে পরিচালিত করতে পারে, যা তাকে পরকালেও সফল করে তুলবে।</t>
  </si>
  <si>
    <t>দাঙ্গায় প্রধান শিকার ছিল শহরের মুসলিম সম্প্রদায়; প্রায় ১০০ নিহত, কয়েকশ আহত, ২,৫০০ বাড়ি ধ্বংস ও ১২,০০০ গৃহহীন হয়।</t>
  </si>
  <si>
    <t>কুড়িগ্রামে হিন্দু-মুসলিম সংঘর্ষে অন্তত ৩৫ জন নিহত হন এবং নিরাপত্তা বাহিনী পরিস্থিতি নিয়ন্ত্রণে ব্যর্থ হয়।</t>
  </si>
  <si>
    <t>বৌদ্ধদের ঐ শান্তির বুলি শুনতে শুনতে আর সহ্য হয় না, ভেতরে সবাই সন্ত্রাসী মনোভাব পোষণ করে।</t>
  </si>
  <si>
    <t>২০১২ সালের ২৯শে সেপ্টেম্বর মধ্যরাতে কক্সবাজারের রামুর ১২টি বৌদ্ধ বিহারে হামলা, লুটপাট ও অগ্নিসংযোগ করে দুষ্কৃতিকারীরা।</t>
  </si>
  <si>
    <t>পরপারে নবীদের ভালোবাসা ইবাদত ও মা-বাবার প্রতি দায়িত্ব পালনের মাধ্যমে বজায় থাকে, যা জান্নাতে আবাস নিশ্চিত করে।</t>
  </si>
  <si>
    <t>এই রমজান মাসে প্রায় সকল শিক্ষার্থীরাই নিজেদের মতো করে ইফতার মাহফিল আয়োজন করছে। তাতে কেউই বাধা দিচ্ছে না।</t>
  </si>
  <si>
    <t>হিন্দুদের বোঝার সময় নেই, তারা শুধু ভাবছে মুসলিমরা তাদের মারছে কারণ তারা হিন্দু। যখন হিন্দুরা ফেসবুকে প্রতিবাদ করে, কিছু মুসলিম হাদিস তুলে ধরেন বলে ইসলাম শান্তির ধর্ম। তারপরও যারা কথা বলে, তাদের ইসলাম অবমাননাকারী হিসেবে ঘোষণা দেয়া হয়। সংখ্যা কমে গেলে হয়তো বুঝবেন; ততক্ষণ এই অবস্থা চলতেই থাকবে।</t>
  </si>
  <si>
    <t>গাজীপুরে ধর্মীয় বিদ্বেষের কারণে সংঘর্ষে ৪৮ জন প্রাণ হারায়। পুলিশ পরিস্থিতি নিয়ন্ত্রণের চেষ্টা করে, সরকার সবাইকে শান্ত থাকার ও দায়িত্বশীল আচরণের নির্দেশ দেয়। বহু সংখ্যালঘু পরিবার নিরাপত্তার জন্য গ্রাম ছেড়ে চলে যায়।</t>
  </si>
  <si>
    <t>হাজার মাসের চেয়েও শ্রেষ্ঠ একটি রাত ‘লাইলাতুল কদর। কেউ কেউ এ রাতকে শবে কদর হিসেবে জানে। এ রাতের যে কোনো আমলই হাজার মাসের আমল থেকে শ্রেষ্ঠ।</t>
  </si>
  <si>
    <t>প্রধান ফেরেশতা জিবরাঈল কাবার সাথে সংযুক্ত করার জন্য জান্নাত থেকে কালো পাথরটি নিয়ে এসেছিলেন।</t>
  </si>
  <si>
    <t>ধর্মীয় গুজবের ফলে একটি গ্রামে ১২টি মেয়েকে অপহরণ ও গণধর্ষণ করে হত্যার পর পুড়িয়ে ফেলা হয়; মোট ৩৬ জন নিহত হন।</t>
  </si>
  <si>
    <t>যুদ্ধে মুসলিমদের শত্রুরা নিহত হয়। বিজয়ে মুহাম্মদের নেতৃত্ব শক্তিশালী হয় এবং মুসলিমরা আরবে নতুন শক্তি হিসেবে আবির্ভূত হয়।</t>
  </si>
  <si>
    <t>বিশ্ববিদ্যালয় কর্তৃপক্ষের সিদ্ধান্ত বিষয়, পূজার প্রসঙ্গ এখানে প্রযোজ্য নয়। সবাই নিজ নিজ উৎসব সম্মান করে পালন করবে।</t>
  </si>
  <si>
    <t>২০১৯ সালের জুন মাসে ধর্মীয় জিগির তুলে এক রাজনৈতিক দলের সদস্যরা সংখ্যালঘুদের বাড়িতে আগুন দেয়; অন্তত ৩৮ জন নিহত হন।</t>
  </si>
  <si>
    <t>প্রতিটি মিডিয়াতে এমন ভাবে মুসলিম সমাজ ও আলেমদের বিরুদ্ধে বিষোদ্গার করা হচ্ছে যেনো হিন্দু-মুসলিম দাঙ্গা লেগেছে।</t>
  </si>
  <si>
    <t>হিন্দু দের বাড়ি ঘর থেকে লোহার টিন ও দামি কাঠের খিলান খুলে নিয়ে আসে। হিন্দুদের মালিকানায় থাকা সিনেমা হল গুলো তারা বন্ধ করে দেয়ার চেষ্টা করে।মুসলিমরা শতকরা ৫০ ভাগ তাঁত দাবী করে যেখানে প্রায় সকল তাঁতের মালিক যোগী সম্প্রদায়ের হিন্দু।</t>
  </si>
  <si>
    <t>তিনি অন্তত ছয় জনকে দেখেছেন যাদের জোর করে বিয়ে করেছে মুসলিমরা এবং যাদের একজন খুন হয়েছে পাশবিক ভাবে। দাঙ্গার সময় নোয়াখালী নউরির জমিদার যশোদা রঞ্জন দাসকে প্রকাশ্যে হত্যা করা হয়।</t>
  </si>
  <si>
    <t>যশোরে ধর্মীয় উত্তেজনার জেরে সংঘর্ষে ৪৩ জন প্রাণ হারায়। পুলিশ পরিস্থিতি নিয়ন্ত্রণে ব্যর্থ হলেও অবিরাম চেষ্টা চালায়। সরকার সকলকে শান্ত থাকার ও দায়িত্বশীল আচরণের আহ্বান জানায়। অনেক পরিবার নিরাপত্তার জন্য গ্রাম ত্যাগ করে।</t>
  </si>
  <si>
    <t>ধর্ম নিয়ে সংশয়ে ২৬ দিন মর্গে পড়ে থাকার পর গতি হলো কিশোরী লাকিং মে চাকমার মরদেহের</t>
  </si>
  <si>
    <t>ধর্ম অসময়ে সাথ দেয়না ঠিকই বলেছেন। তাই ধর্ম না দেখে ডাক্তার রা আমাদের সেবা করে চলেছে। ওদিকে ধর্মের ব্যাবসায়ীরা ধর্মীয় স্থান বন্ধ করে বসে আছেন। তাই কোনো ধর্মই আগে না আগে মানবিকতা।</t>
  </si>
  <si>
    <t>তবে বিশ্লেষকদের অনেকে মনে করেন, ক্ষমতাসীন দল এবং সরকারের ব্যর্থতার কারণে দেশের বিভিন্ন জায়গায় সাম্প্রদায়িক হামলার ঘটনা ঘটছে। লেখক মহিউদ্দিন আহমদ বলেন, এর আগে দেশের বিভিন্ন জায়গায় সাম্প্রদায়িক হামলার যে ঘটনাগুলো ঘটেছে, সেগুলো এবং এখন নড়াইলের হামলার ঘটনার প্যাটার্ন একই রকম।</t>
  </si>
  <si>
    <t>সব ধর্মের মানুষ পরস্পরের অধিকার সম্মান করে শান্তিপূর্ণভাবে বসবাস করবে এবং কেউ কারো ধর্মীয় বিশ্বাস বা অধিকার ক্ষুন্ন করবে না।</t>
  </si>
  <si>
    <t>মতের অমিলকে সহ্য করতে না পারার ফলে ধর্মীয় সংঘর্ষে অনেক পরিবার তাদের আপনজনকে হারিয়েছে, যা গভীর শোকের কারণ হয়েছে।</t>
  </si>
  <si>
    <t>মুসলিম সম্প্রদায়ের উগ্র গোষ্ঠীরা ধর্মীয় উগ্রতা ছড়িয়ে অন্য ধর্মের প্রতি বিদ্বেষ ও সহিংসতা বাড়াচ্ছে।</t>
  </si>
  <si>
    <t>খ্রিস্টান ধর্মে মানুষকে সবসময় শান্তিপূর্ণভাবে জীবনের পথে চলার শিক্ষা দেওয়া হয়, যেখানে তারা ঈশ্বরের আদেশ অনুসরণ করে, একে অপরকে সাহায্য করে, ভালোবাসা ও সহযোগিতা প্রদান করে, এবং কখনোই অন্যদের বিরুদ্ধে অশান্তি বা সহিংসতা সৃষ্টি করার কোনো প্রচেষ্টা করেন না</t>
  </si>
  <si>
    <t>গোলাম সরোয়ারের বাহিনী নাগ পরিবারের বাড়িঘর, পোস্ট অফিস ও বিদ্যালয় পুড়িয়ে দেয়। পুলিশ আক্রমণকারীদের বাধা না দিয়ে সরিয়ে দিলে মুসলিম জনতা গ্রাম জুড়ে লুটপাট চালায়।</t>
  </si>
  <si>
    <t>তৎকালীন রাজশাহী জেলার নওগাঁর নিকটস্থ মইনাম গ্রামে সকল হিন্দু গ্রামবাসীকে নিষ্ঠুরভাবে হত্যা করা হয়; দুটি নাবালিকাকে বাঁচিয়ে রাখা হয়। দুরুশা এলাকার সাঁওতাল আদিবাসী সম্প্রদায়ও হিন্দু বিরোধী হত্যাযজ্ঞের শিকার হয়।</t>
  </si>
  <si>
    <t>সরকার ইচ্ছে করলেই এই ধর্মান্ধ গোষ্ঠীকে দমন করতে পারত। কিন্তু হিন্দুদের কথা সরকার কি আদৌ ভাবে? তাদের ভোটের কোন মূল্য নেই সরকারের কাছে, তাই হয়ত সরকার আজ কোন ব্যবস্থা নিচ্ছে না।'</t>
  </si>
  <si>
    <t>পরকালের আশায় হিন্দু থেকে মুসলিম ধর্মে ধর্মান্তরিত। সেই স্বামী ভোগ শেষে নি*র্যা*তন করে ঘর থেকে বের করে দেয় ও দ্বিতীয় বিবাহ করে।</t>
  </si>
  <si>
    <t>যারা এই কাজ করেছে তাদের নির্দিষ্ট কোন ধর্ম নেই নাকি জন্মগত পরিচয় নেই। মানুষ হয়ে অন্তত মানবিকতার খাতিরে মানুষ তো এমনটা করতে পারে না। মানুষ হিসেবেও এটা লজ্জাজনক।</t>
  </si>
  <si>
    <t>মুসলমাদের একমাত্র স্পন্দন মহা গ্রন্থ আল- কুরআন, আল-কুরআন অবমাননা কারীদের দৃষ্টান্ত মূলক বিচার চাই।</t>
  </si>
  <si>
    <t>বৌদ্ধ ধর্মের পরিবর্তনের কারণ নিয়ে গবেষণা করা শ্রী নরেশ কুমার মনে করেন, বৌদ্ধবাদের প্রসঙ্গ এবং ব্রাহ্মণ্য সংস্কৃতির পুনর্জাগরণের লক্ষ্যে, ব্রাহ্মণ চিন্তাবিদরা তিন ধাপের একটি পরিকল্পনা গ্রহণ করেছিলেন।</t>
  </si>
  <si>
    <t>কিছু ধর্মপ্রাণের বিভ্রান্তিকর মন্তব্য ধর্মীয় আলোচনায় বাধা দেয়; তাই সম্মানের সঙ্গে আলোচনায় মনোযোগ দেয়া প্রয়োজন।</t>
  </si>
  <si>
    <t>উহুদের যুদ্ধে অন্য একটি বিষয় পরিলক্ষিত হয়, যুদ্ধে নেতার আনুগত্য সবচেয়ে গুরুত্বপূর্ণ বিষয়। একটি মাত্র ভুল, একটি মাত্র অসচেতনতায় ঘুরে যেতে পারে যুদ্ধের মোড়। রাসূল সা:-এর সমর নির্দেশনা ভুলে তীরন্দাজ বাহিনী ডেকে আনল চরম বিপর্যয়। এই বিপর্যয় শিক্ষা দেয় নেতার আনুগত্য মান্য করা অপরিহার্য। উহুদের কঠিন পরিস্থিতিতেও রাসূল সা: সম্পূর্ণ সুচারুভাবে সৈন্যবাহিনীকে নিয়ন্ত্রণে আনেন।</t>
  </si>
  <si>
    <t>ধর্মীয় উসকানি আখ্যায়িত করে পার্শ্ববর্তী চার গ্রামের মানুষ ঝুমনের বিরুদ্ধে ১৬ মার্চ রাতে বিক্ষোভ মিছিল করে। ১৭ মার্চ সকালে কাশিপুর গ্রামের মসজিদের মাইক থেকে নোয়াগাঁও গ্রামে গিয়ে হামলা চালানোর ঘোষণা দেওয়া হয়।</t>
  </si>
  <si>
    <t>মুসলিম দেশে বসবাস করে একটি উগ্রবাদী উগ্রপন্থী কিছু সংখ্যক লোক মুসলিম বিদ্বেষী ইসলাম বিদ্বেষী লেখালেখি করে যাচ্ছে সামাজিক যোগাযোগের মাধ্যম ফেসবুকে</t>
  </si>
  <si>
    <t>যখন দেশের সংখ্যালঘু ধর্মীয় সম্প্রদায় নিপীড়িত হচ্ছিল, তখন কি অন্য সম্প্রদায়ের কেউ সহানুভূতি দেখিয়েছে? যদি দেখাত, তাহলে দেশি সম্প্রতি আরও মজবুত হত।</t>
  </si>
  <si>
    <t>মন্দিরের জায়গায় মসজিদ নির্মাণ বন্ধ করা হোক। আর ঐ জায়গা যদি মন্দিরের নাও হয় তবুও ওখানে মসজিদ নির্মাণ করা উচিত নয়।</t>
  </si>
  <si>
    <t>পাঁচজন গ্রেপ্তার পীরগাছায় সম্প্রদায়িক দাঙ্গায় আবারো হিন্দু পাড়ায় হামলা মারধর, অগ্নিসংযোগ</t>
  </si>
  <si>
    <t>১৯৬৭ সালে ঝাড়খণ্ডের রাঁচি ও হাতিয়ায় হিন্দু-মুসলিম দাঙ্গায় ১৮৪ জন নিহত এবং প্রচুর সম্পত্তি ধ্বংস হয়।</t>
  </si>
  <si>
    <t>মিল্লার একটি পূজামণ্ডপে কোরআন শরিফ রাখার গুজব ছড়িয়ে দেশজুড়ে হিন্দুদের মন্দির, বাড়িঘর ও ব্যবসা প্রতিষ্ঠানে হামলা করা হয়, যেখানে বেশ কয়েকজন নিহত হন।</t>
  </si>
  <si>
    <t>ধর্মীয় অবমাননার অভিযোগে সংখ্যালঘুদের বিরুদ্ধে মিথ্যা গুজব ছড়িয়ে হামলা হচ্ছে; ২০১১ থেকে ঘটছে, বিচার দাবি করেছেন।</t>
  </si>
  <si>
    <t>হিন্দু ধর্মাবলম্বীরা প্রায়শই অন্য ধর্মের প্রতি বিদ্বেষমূলক মনোভাব পোষণ করে যা দেশের ধর্মীয় শান্তিকে বিপন্ন করে।</t>
  </si>
  <si>
    <t>বৌদ্ধ সম্প্রদায়ের কিছু সদস্য অন্য ধর্মাবলম্বীদের বিরুদ্ধে অবজ্ঞাসূচক মন্তব্য করে সমাজে অশান্তি বাড়াচ্ছে।</t>
  </si>
  <si>
    <t>ওই ফেইসবুক ব্যবহারকারী ইসলাম ও আমাদের নবীকে অপমান করে মুসলমানদের অনুভূতিতে আঘাত দিয়েছে, এদের জায়গা সমাজে নেই, এরা ইসলামবিদ্বেষী নোংরা মানসিকতার লোক।</t>
  </si>
  <si>
    <t>তারা মনে করতেন, পৃথিবীতে যত ধর্ম আছে তাদের মূল কথা একই। ধর্মগুলোর ছোটখাটো বিভেদের মধ্যেও রয়েছে এক বড় ঐক্য। মানুষ ইচ্ছে করে ধর্মের ভেতর নানা বিভেদ তৈরি করে রেখেছে।</t>
  </si>
  <si>
    <t>শ্রীলঙ্কার গৃহযুদ্ধে তামিল ও বৌদ্ধ সংখ্যাগরিষ্ঠ সেনাবাহিনীর মধ্যে সংঘর্ষে ধর্মীয় উত্তেজনা সহ বহু প্রাণহানি ঘটে।</t>
  </si>
  <si>
    <t>বরিশালের উজিরপুরে একদল যুবক মন্দিরে ঢুকে প্রতিমার গায়ে রঙ ছিটিয়ে অশ্লীল ছবি আঁকে।</t>
  </si>
  <si>
    <t>রাজশাহীতে ধর্মীয় সংঘর্ষে হিন্দু সম্প্রদায়ের ২৭ জন নিহত হন; মন্দির ভাঙচুর ও দোকানপাট পুড়িয়ে দেওয়া হয়।</t>
  </si>
  <si>
    <t>সমসাময়িক সমাজে, খ্রিস্টানরা ইরান ও মধ্যপ্রাচ্যের অন্যান্য অঞ্চলে নির্যাতনের শিকার হয়, বিশেষ করে ধর্মান্তরিত হওয়ার চেষ্টা করার জন্য, যা সেখানে অবৈধ। [৯৬][৯৭][৯৮] মুসলিম সংখ্যাগরিষ্ঠ দেশগুলিতে ১০০-২০০ মিলিয়ন খ্রিস্টান নির্যাতনের অভিযোগ রয়েছে।</t>
  </si>
  <si>
    <t>যদিও চট্টগ্রামে প্রধান জামে মসজিদ দু'টি ছাড়া অন্যান্য মসজিদে নামাজ স্থগিত রাখা হয়েছে। বরিশালে বাড়িতে নামাজ পড়ার আহ্বান জানিয়ে আজানের বাণীও পরিবর্তন করা হয়েছে।</t>
  </si>
  <si>
    <t>কোরআন পোড়ানোর প্রতিবাদে মুসলিমরা শুধু ভক্তিই নয়, যুক্তিকেও নতুনভাবে উপস্থাপন করছে, কারণ এটি মতপ্রকাশ নয়, বরং চরম ঘৃণা ও অযৌক্তিকতার প্রকাশ।</t>
  </si>
  <si>
    <t>ঝিনাইদহে হিন্দু-মুসলিম সংঘর্ষে অন্তত ৩৫ জন নিহত হন। সংঘর্ষের সময় ব্যাপক অগ্নিসংযোগ ও ভাঙচুর হয়।</t>
  </si>
  <si>
    <t>সুনির্দিষ্টভাবে একটি চক্র বাংলাদেশে ধর্মীয় সম্প্রীতি বিনষ্ট করায় চক্রান্তে লিপ্ত আছে। একটা হিন্দু মুসলিম দাঙ্গা তাদের চাই-ই চাই।</t>
  </si>
  <si>
    <t>আমাদের ধর্মীয় উৎসব ঈদের কুরবানির ছবি আপলোডের কারণে মুশফিককে নিয়ে কতো নোংরা ভাষায় আক্রমণ করা হলো।</t>
  </si>
  <si>
    <t>অস্ট্রেলিয়ায় নিহত ২ পুলিশ কর্মকর্তা ‘ধর্মীয় উগ্রবাদী’ হামলার শিকার</t>
  </si>
  <si>
    <t>নবী রাসুল সম্পর্কে কেউ কোনো বাজে মন্তব্য করলে অবশ্যই মাথা ধরার কথা।।</t>
  </si>
  <si>
    <t>আমি বৌদ্ধ ধর্মের এবং গৌতম বুদ্ধের প্রত্যেকটা কথা সঠিক যা আমাদের জীবনকে অনেক সহজ করে তোলে। সাধু, সাধু, সাধু। বুদ্ধের শাসন চিরজীবি হোক।</t>
  </si>
  <si>
    <t>ইসলামের বিরুদ্ধে কোটি কোটি ষড়যন্ত্র করে ইসলামকে প্রশ্নবিদ্ধ ও দাবানোর চেষ্টা করা হচ্ছে কালপ্রিট লোকগুলা যাতে এলাকায় সমস্যা তৈরী করতে পারে ইসলামের বিরুদ্ধে।</t>
  </si>
  <si>
    <t>আল-কোরআন বারবার প্রমাণ দিয়েছে সত্য, তবুও কাফেররা অন্ধের মতো মিথ্যা ধর্মে বেঁচে আছে এরা শয়তানের অনুসারী ছাড়া আর কিছুই না।</t>
  </si>
  <si>
    <t>হাবায়ে কেরাম (রা.)-দের স্ত্রীদের নিয়ে মদিনায় কটূক্তিমূলক কবিতা বলা হয়।</t>
  </si>
  <si>
    <t>জান্নাতে প্রবেশ না করলে বুঝবেন না যে জান্নাত কেমন। জান্নাত এত সুন্দর যে শুধু দেখলে আরও দেখতে মন চায়। একবার দেখলে মনে হয় যে শুধু চেয়ে থাকি, ২৪ মিনিটও চেয়ে থাকলে মনে হবে যেন সময় শেষ হয়ে যায়। দেখলে মন চায়, মন টানে যেন শুধু আর দেখতে থাকি। মন টানে আর কতক্ষণ চেয়ে থাকতে পারি, থাকা যায় না!</t>
  </si>
  <si>
    <t>মাদুরাই নায়ক রাজবংশ (১৫২০–১৭৩৬) সতীদাহ প্রথাকে ব্যাপকভাবে অনুসরণ করেছিল। ১৬০৯ সালে নায়ক মুত্তু কৃষ্ণাপ্পার মৃত্যুর পর ৪০০ নারীকে পুড়িয়ে ফেলার ঘটনা ঘটেছিল।</t>
  </si>
  <si>
    <t>নভেম্বরের শুরুতে একজন সিনিয়র আই.সি.এস অফিসার ও তার পুলিশ বাহিনী একটি ক্যাম্পে দুর্গত হিন্দুদের রক্ষার চেষ্টা করতে গিয়ে তিনবার মুসলিম সশস্ত্র বাহিনীর হামলার শিকার হন। পুলিশ বাধ্য হয়ে গোলাবর্ষণ শুরু করলে ৭ জন নিহত ও ১০ জন আহত হন।</t>
  </si>
  <si>
    <t>৩ সেপ্টেম্বর ২০২৩ মাদারীপুরের কালকিনিতে দুর্গা প্রতিমার চোখ ও নাক ছিঁড়ে ফেলে স্থানীয় একদল উগ্রচিন্তাধারার অনুসারী</t>
  </si>
  <si>
    <t>২০০৯ সালে আন্তর্জাতিক এক মানবাধিকার সংস্থা জানায়, সারা বিশ্বের প্রায় ৮০ শতাংশ ধর্মীয় নিপীড়নের শিকার ছিলেন খ্রিস্টানরা, যা ধর্মীয় স্বাধীনতার প্রতি সচেতনতা বৃদ্ধির গুরুত্ব বোঝায়।</t>
  </si>
  <si>
    <t>২০১৯ সালের জানুয়ারিতে এক গোষ্ঠী ধর্মীয় গোষ্ঠীর বিরোধে এক সাংবাদিককে হত্যা করা হয়; বিক্ষোভের সময় ১৫ জন নিহত হয়।</t>
  </si>
  <si>
    <t>তখন কোথায় ছিল ধর্মপালনের স্বাধীনতা।অথচ এখন তেনারা গুটিকয়েক মন্তব্য নিয়ে এক্কেবারে দেশ উল্টিয়ে ফেলছেন।তথাকথিত অসাম্প্রদায়িক সুশীলদের সমস্যা আসলে ইসলামে। ৯০ ভাগ মুসলিমের দেশে সরাসরি বলতে পারেননা এই আরকি</t>
  </si>
  <si>
    <t>ওয়াজ যে শোন, ওয়াজে কত ধরনের কথাই বকে, ভেবে দেখেছো? মানুষকে হত্যা করতে বলে, বাজে কথা বলে। হিংসা ছড়ানো হয় খেয়াল করেছো? শুনে ধর্ম মানতে হবে কেন? নিজে পড়েই ধর্ম মানো।</t>
  </si>
  <si>
    <t>২৫ জানুয়ারি ২০২৩ পিরোজপুরের ভান্ডারিয়ায় নতুন নির্মিত বিষ্ণুমন্দিরে প্রতিমা স্থাপনের একদিন আগেই তা ভেঙে দেয় দুর্বৃত্তরা</t>
  </si>
  <si>
    <t>ধর্ম নিয়ে বিতর্কিত পোস্ট ইগনোর করেই ক্ষান্ত হচ্ছিনা, বরং পোস্ট দাতাকেও ফ্রেন্ডলিস্ট থেকে বিদায় দেওয়া শুরু করেছি</t>
  </si>
  <si>
    <t>শরীয়তপুরে ধর্মীয় উগ্রতার কারণে সংখ্যালঘু সম্প্রদায়ের ওপর হামলায় অন্তত ৪০ জন নিহত হন।</t>
  </si>
  <si>
    <t>৩০এ অক্টোবর ২০১৬-তে এক হিন্দু জেলে রসরাজ দাস দ্বারা ইসলামের বিরুদ্ধে পোস্ট করার অভিযোগ করে এই হামলা করা হয়। এতে ১৯টি মন্দির হামলার শিকার হয়</t>
  </si>
  <si>
    <t>ধর্মীয় শিক্ষা সবার জন্য বোধ্য হওয়া উচিত—ছোট-বড় সকলের জন্য প্রযোজ্য। আপনারাও এভাবে উপস্থাপন করলে আরও মানুষ উপকৃত হবেন। আশা করি, কেউ ভুল বুঝবেন না।</t>
  </si>
  <si>
    <t>আল্লাহ কুরআনে মানব জাতিকে সততা, পরিশুদ্ধতা, এবং একে অপরের প্রতি সহানুভূতি প্রদর্শনের নির্দেশ দিয়েছেন, যা সমাজের মধ্যে শান্তি প্রতিষ্ঠা করতে সহায়ক।</t>
  </si>
  <si>
    <t>হিন্দুদের উপর এ ধরনের হত্যাকাণ্ড ও তাণ্ডব চলছিল, তখন রমনা কালী মন্দির ও মা আনন্দময়ীর আশ্রম আগুনে প্রচণ্ডভাবে জ্বলছিল।</t>
  </si>
  <si>
    <t>ব্লাসফেমি আইনের অধীনে যারা ইসলাম ধর্মকে অবমাননা করে তাদেরকে মৃত্যুদন্ড সহ কঠোর শাস্তি দেয়া হয়।</t>
  </si>
  <si>
    <t>শত অযোগ্যতা ও পশ্চাৎপদতা সত্ত্বেও মুসলিম জাতি এখনো যে সম্পদের কারণে পশ্চিমাদের ঈর্ষা ও বিদ্বেষের লক্ষ্যবস্ত্ত তা হচ্ছে আল্লাহর কালাম ও দ্বীন ইসলাম।</t>
  </si>
  <si>
    <t>সচিবালয়ের কর্মচারী এবং কর্মকর্তারা তৎক্ষণাৎ কর্মবিরতির ডাক দিয়ে একটি মিছিল বের করে, যেখান থেকে হিন্দু বিদ্বেষী স্লোগান দেয়া হয়। তারা মিছিল নিয়ে নবাবপুরের দিকে অগ্রসর হয় এবং আরও অনেকে ওই মিছিলে যোগ দেয়।</t>
  </si>
  <si>
    <t>এফ.এম.ই. স্কুল, পাবলিক লাইব্রেরী,বিবেকানন্দ ফিজিক্যাল ক্লাব,হিরালাল লহিয়া চ্যারিটেবল হসপিটাল সহ আরও অনেক প্রতিষ্ঠান মুসলিমরা আগুনে পুড়িয়ে ছাই বানিয়ে দেয়।[২১] সেনাবাহিনীর তত্ত্বাবধানে ট্রাকে ভরে ভরে মৃতদেহগুলো হাসপাতালে নিয়ে আসে তারা এবং সেগুলো সেখান থেকেই সরাসরি নিয়ে মাটি চাপা দেয়া হয়।এভাবে শতশত হিন্দুর মৃতদেহ সেনাবাহিনী গুম করে ফেলে।এমনকি যে সকল মৃতদেহ শনাক্ত করা হয়েছিল সেগুলোকেও তাদের পরিবারের কাছে হস্তান্তর না করে গুম করে ফেলে তারা।[</t>
  </si>
  <si>
    <t>যতোই বোঝানো হোক আর নিষেধাজ্ঞা লাগানোর কথা হোক না কেনো কিছু লোক তাদের ধর্মীয় জ্ঞানের ভাণ্ডার মেলে ধরবেই ধরবে</t>
  </si>
  <si>
    <t>যারা হুজুর নিয়ে তর্ক করে, তারা মারা গেলে হুজুরদের পা ধরেই জানাজা পড়াতে নিয়ে যায়।</t>
  </si>
  <si>
    <t>আমরা যদি ফেসবুকে সচেতনভাবে নিজস্ব ভাবনা ও মূল্যবোধ থেকে পোস্ট করি, তাহলে তা ইতিবাচক আলোচনার সৃষ্টি করবে।</t>
  </si>
  <si>
    <t>ইসলামে নবী নিয়ে বিতর্ক বা উদ্দেশ্যমূলক বক্তব্যকে আক্রমণ হিসেবে গণ্য করা হয়, যা ধর্মীয় শান্তি বিঘ্নিত করতে পারে। অভিযোগ পেলে আদালত ব্যবস্থা নেবে।</t>
  </si>
  <si>
    <t>২০২১ সালের জানুয়ারিতে এক ধর্মীয় প্রার্থনার সময় হামলা চালিয়ে ৩৫ জন নিহত হয়; মৃতদেহ নদীতে ফেলে দেয়া হয়।</t>
  </si>
  <si>
    <t>এইবার সে আসল চালটা চালছে, এতদিন ভুংভাং বলে এখন মুসলমানের মধ্যে ‘হিন্দুপ্রীতি’ জাগ্রত করে তাদের কচুকাটা করার পথ সে সুগম করছে।</t>
  </si>
  <si>
    <t>ধর্মীয় বৈচিত্র্য মাঝে মাঝে সংঘর্ষ ও সামাজিক অস্থিরতার কারণ হতে পারে, বিশেষ করে ধর্মবিরোধী মতাদর্শের কারণে।</t>
  </si>
  <si>
    <t>আমি অবাক হয়ে যাই,আমাদের সাবেক এমপি না হয় সনাতন ধর্মের মানুষ কিন্তু উনার কিছু কিছু পা চাটা মুসলিমও দেখি মসজিন নিয়ে আপন ধর্ম নিয়ে অপরাজনীতি করার চেষ্টা করছে।</t>
  </si>
  <si>
    <t>ওরা মুসলমান হয়েও আচরণ করে কুকুরের মতো এদের দিকে তাকানো হারাম, কথা বলা পাপ।</t>
  </si>
  <si>
    <t>১৯৮৩ সালে আসাম রাজ্যে নেলি গণহত্যার ঘটনা ঘটে। নেলি নামে একটি গ্রামে বাঙালি বংশোদ্ভূত প্রায় ১,৮০০ মুসলমানকে লালুং উপজাতির লোকেরা (তিওয়া নামেও পরিচিত) হত্যা করেছিল।</t>
  </si>
  <si>
    <t>২০১৯ সালের আগস্ট মাসে ধর্মীয় ভিন্নমত প্রকাশের কারণে এক ব্লগারকে প্রকাশ্যে হত্যা করা হয়; বিক্ষোভের সময় আরও ১৬ জন প্রাণ হারায়।</t>
  </si>
  <si>
    <t>ধর্মীয় কুসংস্কারের বলি হয়ে ৭৫ বছর বয়সী এক নারী স্বামীর অন্ত্যেষ্টিতে আগুনে ঝাঁপ দিয়ে প্রাণ হারান, যা ধর্মের নামে নারীর প্রতি সহিংসতার জ্বলন্ত প্রমাণ হয়ে দাঁড়ায়।</t>
  </si>
  <si>
    <t>৭ ডিসেম্বর ঢাকায় একটি খেলার সময় প্রায় পাঁচ হাজার উগ্র ধর্মীয় উন্মাদ লোহার রড ছুরি ও রাম দা নিয়ে স্টেডিয়ামে হামলা চালিয়ে ব্যাপক তাণ্ডব সৃষ্টি করে।</t>
  </si>
  <si>
    <t>টঙ্গীর তুরাগ তীরে বিশ্ব ইজতেমার দ্বিতীয় পর্বে আরও এক মুসল্লির মৃত্যু; মোট মৃতের সংখ্যা ৭ জন।</t>
  </si>
  <si>
    <t>আমি মুসলিম হিসাবে ইসলামকে খারাপভাবে উপস্থাপনের তীব্র প্রতিবাদ ও নিন্দা জানাচ্ছি আমরা সকল মুসলিমদের উচিত এর প্রতিবাদ জানানো</t>
  </si>
  <si>
    <t>ভাই আপনারা বৌদ্ধ ধর্মকে ভালোবাসেন আমরা জানি , বৌদ্ধ ধর্ম টা সুন্দর ভাবে বললে ভালো লাগে</t>
  </si>
  <si>
    <t>১৮ আগস্ট ২০২৩ পঞ্চগড়ের বোদায় প্রতিমা তৈরির সময় একটি অস্থায়ী কাঠামো ধ্বংস করে শিল্পীদের তাড়িয়ে দেয়া হয়</t>
  </si>
  <si>
    <t>মুসলমানের সৃষ্টি, আদিপিতা, কীভাবে পৃথিবীর বুকে মুসলমানরা আবির্ভূত হয়েছে, তার একটা কমপ্লিট পরিচিতি ও দর্শন ইসলামের ইতিহাসের মধ্যে পাওয়া যায়। সেটিই হচ্ছে মূলত মানুষ সৃষ্টির ইতিহাস, তথা মুসলিম সৃষ্টির ইতিহাস। মুসলিম হলো নূরের তৈরি মাটির সংমিশ্রণে মানুষ।</t>
  </si>
  <si>
    <t>ষোড়শ শতকে পর্তুগিজ মিশনারিদের মাধ্যমে বাংলাদেশে খ্রিস্টধর্মের আগমন ঘটে। বর্তমানে দেশের মোট জনসংখ্যার প্রায় ০.৪ শতাংশ খ্রিস্টান, যারা শান্তিপূর্ণভাবে ধর্মীয় বিশ্বাস পালন করে আসছে।</t>
  </si>
  <si>
    <t>রাত ৮টার দিকে দুর্বৃত্তরা এক যোগে হামলা চালায়৷ তারা মূল মন্দিরের সামনের নাট মন্দিরে ভাঙচুর চালায়৷ সব টিন খুলে নিয়ে যায়৷ মূল মন্দিরে তালা ভেঙ্গে ঢুকে ভাঙচুর ও লুটপাট করে৷ সবই নিয়ে গেছে৷ সামনে দুর্গাপূজা৷ প্রতিমার কাঠামো গুঁড়িয়ে দিয়েছে৷ পরে কালিমন্দিরে আগুন দিয়েছে৷ পাশে আরো তিনটি মন্দিরে হামলা ও ভাঙচুর করে৷ তিনি বলেন, ‘‘এক মাস পর দুর্গাপূজা৷ আমরা কীভাবে পূজা করব জানি না৷</t>
  </si>
  <si>
    <t>কোনো ধর্মই উগ্রতা সমর্থন করে না। এক ধর্মের নামে অন্যকে কলঙ্কিত করা ভুল এবং ধর্মীয় শান্তির জন্য ক্ষতিকর।</t>
  </si>
  <si>
    <t>শিয়া সুন্নি দ্বন্দ্বকে কেন্দ্র করে সাম্প্রদায়িক উগ্রতার জেরে আত্মঘাতী হামলা ও সহিংসতায় হাজার হাজার নিরীহ মানুষ প্রাণ হারায় যা ধর্মীয় বর্বরতার ভয়াবহ দৃষ্টান্ত হয়ে রয়েছে।</t>
  </si>
  <si>
    <t>সামাজিক যোগাযোগ মাধ্যমে ধর্মীয় ও সামাজিক অবক্ষয় দিন দিন বেড়ে চলেছে।</t>
  </si>
  <si>
    <t>২০১৯ সালের অক্টোবর মাসে এক ধর্মীয় গোষ্ঠীর উগ্রবাদীরা মেয়েদের খেলাধুলা নিষিদ্ধ করে; খেলায় অংশগ্রহণকারীদের উপর সহিংসতা চালিয়ে ১৪ জন নিহত হয়।</t>
  </si>
  <si>
    <t>দুই পক্ষের মধ্যে থেমে থেমে প্রায় আধা ঘণ্টার মতো সংঘর্ষ এবং ধাওয়া–পাল্টাধাওয়ার ঘটনা ঘটে। সংঘর্ষের সময় পাঁচ পুলিশ সদস্যসহ সাতজন আহত হন। আহত দুই বিক্ষোভকারীকে ঢাকা মেডিকেল কলেজ হাসপাতালে ভর্তি করা হয়। পুলিশের রমনা জোনের সহকারী কমিশনার বায়জিদুর রহমান জানান, যে "সংঘর্ষে তিনিসহ পাঁচ পুলিশ সদস্য আহত হয়েছেন"।</t>
  </si>
  <si>
    <t>সাঁওতাল ও মুসলিমদের মাঝে দাঙ্গা শুরু হয় ছোটোখাটো এক ধর্মীয় বাক বিতন্ডার ফলে। সাঁওতালরা তীর ছুড়ে তিনজন মুসলিমকে মেরে ফেলে এবং ছ'জনকে জ্যান্ত জ্বালিয়ে দেয়।</t>
  </si>
  <si>
    <t>শুধু সূরা বাকারাতেই না , সূরা ফাতিহার ক্ষেতেও লক্ষ্য করলে দেখা যাবে এমন । উল্টো নির্নয় এবং পড়ো এর সিরিজ গুলো থেকে এগুলো আমি শিখেছিলাম আল্হামদুলিল্লাহ।ধন্যবাদ স্যার আপনার সব ভিডিও গুলোই দেখার চেষ্টা করি।</t>
  </si>
  <si>
    <t>অন্তত কোরানের মাসে কোন মুসলমানের বাচ্চা এসব আয়োজন করে না।</t>
  </si>
  <si>
    <t>প্রাচীন তত্ত্ব্য মতে, বর্তমান বাংলাদেশ অঞ্চল ছিল এশিয়ার বৌদ্ধ ধর্ম প্রচারের মূল কেন্দ্র। দর্শন ও স্থাপত্য সহ বৌদ্ধধর্ম সভ্যতা বাংলা থেকে তিব্বত, দক্ষিণ -পূর্ব এশিয়া ও ইন্দোনেশিয়া ভ্রমণ করে।</t>
  </si>
  <si>
    <t>রংপুরে দুর্গোৎসবের দিন প্রতিমার গায়ে বোমা বিস্ফোরণ ঘটানো হয়, বেশ কয়েকটি প্রতিমা টুকরো টুকরো হয়ে যায়।</t>
  </si>
  <si>
    <t>বাংলাদেশে ১৯৬৯ সালের দাঙ্গায় অনুমান করা হয় যে ৩০ জন প্রাণ হারিয়েছে। ১৯৭০ সালের আরেকটি দাঙ্গায় সংখ্যালঘু সম্প্রদায়ের বিরুদ্ধে সহিংসতার ঘটনা ঘটে।</t>
  </si>
  <si>
    <t>এতো সুন্দর করে ঘুছিয়ে বলার ক্ষমতা খুবই কম মানুষেরই থাকে। আল্লাহ আপনাকে নেক হায়াত দান করুক এবং সঠিক পথে চলার তৌফিক দান করুক,আমিন।</t>
  </si>
  <si>
    <t>২০১৬ সালের জানুয়ারিতে এক গোষ্ঠী ধর্মীয় বই বিতরণকারীদের ওপর হামলা চালিয়ে ২১ জন নিহত করে।</t>
  </si>
  <si>
    <t>দেওয়ানগঞ্জে সরস্বতী প্রতিমা ভাঙচুরের পর পূজা অনিশ্চিত</t>
  </si>
  <si>
    <t>দ্রুজরা প্রায়ই বিভিন্ন মুসলিম শাসনের দ্বারা নিপীড়নের সম্মুখীন হয়েছে, দ্রুজের নিপীড়নের মধ্যে রয়েছে গণহত্যা , দ্রুজের প্রার্থনা ঘর এবং পবিত্র স্থানগুলো ধ্বংস করা এবং জোরপূর্বক ইসলামে ধর্মান্তরিত করা।</t>
  </si>
  <si>
    <t>বৌদ্ধ সম্প্রদায়ের কিছু সদস্য অন্য ধর্মের প্রতি অসম্মান প্রদর্শন করে যা সামাজিক ঐক্যবদ্ধতাকে ক্ষতিগ্রস্ত করছে।</t>
  </si>
  <si>
    <t>১৮ মার্চ র‍্যাবের মহাপরিচালক শাল্লায় উপস্থিত হয়ে অপরাধীদেরকে উপযুক্ত সাজার আওতায় আনার আশ্বাস দেন।[১৩] বিশিষ্ট ব্যক্তিবর্গ, এবং বিভিন্ন সংস্থা গুলো এক যুক্ত বিবৃতিতে ধর্মান্ধদের হামলার নিন্দা ও ক্ষতিগ্রস্তদের নিরাপত্তা নিশ্চিত করার দাবী জানান হয়।</t>
  </si>
  <si>
    <t>দুর্গাপূজা উৎসবের সময় মুসলিম জনতা দেশ জুড়ে হিন্দু সম্প্রদায়ের বিরুদ্ধে সাম্প্রদায়িক সহিংসতা উস্কে দেয়, একটি ভাইরাল ভিডিও যেখানে একটি মন্দিরের মূর্তির পায়ের নীচে কুরআন রাখা হয়েছিল, তার প্রতিক্রিয়ায় সারা দেশে ৫০ টিরও বেশি মন্দির এবং অস্থায়ী পূজার ব্যবস্থা ভাঙচুর করা হয়।</t>
  </si>
  <si>
    <t>শবে বরাত ইসলামের সবচেয়ে পবিত্র অনুষ্ঠানগুলির মধ্যে একটি। প্রতি বছর, জাপানের মুসলমানরা এই অনুষ্ঠানের জন্য বিশেষ আয়োজন করে।</t>
  </si>
  <si>
    <t>৩০ অক্টোবর, বাংলাদেশের তৎকালীন রাষ্ট্রপতি হুসেইন মুহাম্মদ এরশাদ তার বাসভবন বঙ্গভবনে যখন একটি যুব সম্মেলনে ভাষণ প্রদান করছিলেন ঠিক তখনও বঙ্গভবনের দক্ষিণে অবস্থিত একটি গৌড়ীয় মঠে আগুন ধরিয়ে দেয় সশস্ত্র মুসলিমরা এবং হিন্দু মালিকানাধীন ব্যবসাপ্রতিষ্ঠান গুলোতে নির্বিচারে লুটপাট ও হামলা চালায় তারা।</t>
  </si>
  <si>
    <t>পটুয়াখালীর এক মসজিদে আত্মঘাতী বোমা হামলায় ৪১ জন নিহত হয়; নিরাপত্তা ব্যবস্থা জোরদার করা হয়।</t>
  </si>
  <si>
    <t>শুরুতে এই পোস্টটা দেখে আমার অনেক বড় অফসোস লাগলো। আমার কথা হচ্ছে যদি সনাতন ধর্ম আপনারা রক্ষা করতে চান তাহলে আগে নিজের ছেলে মেয়েকে ধমীয় শিক্ষায় শিক্ষিত করুন।</t>
  </si>
  <si>
    <t>আরণ্ডপুর প্রভৃতি বৌদ্ধ ধর্মে প্রভাবিত দেশসমূহে বিশেষ মর্যাদা সহকারে এই উৎসব পালিত হয়ে থাকে।</t>
  </si>
  <si>
    <t>চট্টগ্রামের জেলার বাঁশখালী ও কর্ণফুলী উপজেলার মণ্ডপে হামলা-ভাঙচুরের ঘটনা ঘটে।[৪৭] জেএম সেন হলে পূজা মণ্ডপে হামলার ঘটনা ঘটে। এতে ৮৩ জনের নাম উল্লেখ করে মামলা করে পুলিশ, একইসাথে কয়েকশ অজ্ঞাত ব্যক্তিকে আসামি করা হয়।[৪৮] চট্টগ্রাম মহানগর পূজা উদযাপন পরিষদ হামলার বিরুদ্ধে অবস্থান নিয়ে নিরাপত্তা না পাওয়া পর্যন্ত প্রতিমা বিসর্জন না দেয়ার ঘোষণা দেয়।[৪৯] পরবর্তীতে পুলিশ ও রাজনৈতিক নেতাদের আশ্বাসে নির্ধারিত সময়ের পাঁচ ঘণ্টা পরে প্রতিমা বিসর্জন দেয়া হয়।</t>
  </si>
  <si>
    <t>ধর্ম সবসময়ই সংবেদনশীল একটি বিষয় ছিল এবং মানবজাতির ইতিহাসে ধর্ম মানুষকে ন্যায়নীতি ও আত্মিক উন্নতির পথে চালিত করতে গুরুত্বপূর্ণ ভূমিকা পালন করে এসেছে।</t>
  </si>
  <si>
    <t>প্রকৃত ধর্ম আমাদের শিখায় ভালো মানুষ হতে, অন্যদের প্রতি সহানুভূতিশীল হতে, এবং সকলের কল্যাণে কাজ করতে।</t>
  </si>
  <si>
    <t>৭ জানুয়ারি ২০২৩ ব্রাহ্মণবাড়িয়ার নবীনগর উপজেলার একটি কালীমন্দিরে ভোর রাতে দুর্বৃত্তরা প্রবেশ করে প্রতিমাগুলোর চোখ ও মুখ বিকৃত করে দেয় এবং প্রার্থনা কক্ষের জানালার কাচ ভেঙে ফেলে</t>
  </si>
  <si>
    <t>২২ মে সকাল ১০টার দিকে প্রায় ৫০০ সশস্ত্র ব্যক্তি গ্রাম ঘিরে ফেলে, গ্রামবাসী বারুই পরিবারের বাড়িতে জড়ো হয় এবং প্রায় ২০০ বাঙালি হিন্দু লাঠি-বর্শা নিয়ে ওয়াপদা বাঁধে অবস্থান নেন।</t>
  </si>
  <si>
    <t>লালমনিরহাটে সৎসঙ্গ মন্দিরে ঢুকে গায়ত্রী মূর্তি ও গীতার বই পুড়িয়ে দেয়া হয়।</t>
  </si>
  <si>
    <t>আমি ইতিবাচক ভাবনা ও সুস্থ আলোচনায় বিশ্বাসী। ধর্ম বা রাষ্ট্রবিরোধী কোনো পোস্ট আমার মত নয়, সবাই সচেতন থাকুন।</t>
  </si>
  <si>
    <t>২০১৯ সালের মার্চ মাসে এক গোষ্ঠী ধর্মীয় বিদ্বেষের কারণে স্কুলে দাঙ্গা, এতে ২৯ জন নিহত হয়।</t>
  </si>
  <si>
    <t>আমার কথা হলো হিন্দু ধর্মলম্বী ভাইরা তাদের ধর্ম বা উৎসব পালন করবে এতে আমাদের কোন আপত্তি নেই।</t>
  </si>
  <si>
    <t>যারা পত্রিকার শাস্তি চায়, তারা খুনিদেরই সঙ্গী, এই ধর্মান্ধদের মুখ বন্ধ না করলে বাকস্বাধীনতা মরে যাবে।</t>
  </si>
  <si>
    <t>নোংরা অমানুষিকতার তীব্র নিন্দা ও দ্রুত গ্রেফতার ও দৃষ্টান্তমূলক শাস্তির দাবি করছি।</t>
  </si>
  <si>
    <t>বুঝলাম জগন্নাথ হল হিন্দু দের কিন্তু বাকি টা তো মুসলিম দের তো সেখানে তারা কেনো ইফতার করতে পারবে না!!!!!?</t>
  </si>
  <si>
    <t>রাজবাড়ীতে ধর্মীয় বিভেদের কারণে সংঘর্ষে ৪৪ জন নিহত হন। পুলিশ শান্তি প্রতিষ্ঠার চেষ্টা করলেও সহিংসতা বেড়ে যায়। সরকার সকলকে শান্তি ও ধর্মীয় সহিষ্ণুতা বজায় রাখার নির্দেশ দেয়। বহু পরিবার নিরাপত্তার জন্য গ্রাম ত্যাগ করে।</t>
  </si>
  <si>
    <t>২০১২ চিরিরবন্দর সহিংসতা বলতে বাংলাদেশের রংপুর বিভাগে দিনাজপুর জেলার চিরিরবন্দর উপজেলায় ২০১২ সালের ৪ই আগস্ট সংখ্যালঘু হিন্দু সম্প্রদায়ের উপর ইসলামী চরমপন্থীদের দ্বারা আক্রমণকে বোঝায়।</t>
  </si>
  <si>
    <t>হিন্দু ইতিহাসে একটি দুঃখজনক পুনরাবৃত্তি ঘটেছে যেখানে কিছু ভিন্ন ধর্মীয় মানুষ হিন্দুদের তাদের নৈতিক ও ব্যক্তিগত পরিচয় থেকে পৃথকভাবে দেখে।</t>
  </si>
  <si>
    <t>১৯৪৬ সালের ২৯ আগস্ট ছিল ঈদ-উল-ফিতরের; মুসলিমদের সব থেকে বড় ধর্মীয় উৎসবের দিন।</t>
  </si>
  <si>
    <t>২৫ অক্টোবর পীরগঞ্জ থানার ভারপ্রাপ্ত কর্মকর্তা (ওসি) সরেস চন্দ্র বলেন, ‘শিবির ক্যাডার আব্দুল্লাহ আল মামুনের নেতৃত্বে ঘটনার দিন প্রায় ৩০টি মোটর সাইকেল নিয়ে জামায়াত-শিবিরের ক্যাডাররা জেলেপাড়ায় হিন্দু সম্প্রদায়ের ওপর সহিংস ঘটনা ঘটায়।</t>
  </si>
  <si>
    <t>এক গোষ্ঠী ধর্মীয় মন্দিরে আগুন দিয়ে ৩০ জন নিহত হয়।</t>
  </si>
  <si>
    <t>অবৈধ জমির উপরে স্থাপিত - এই অজুহাত দিয়ে কত মসজিদ ভেঙ্গে ফেলা হয়েছে জানেন তো?</t>
  </si>
  <si>
    <t>হিন্দু মুসলিম একত্রে শান্তিতে বাস করলে, তাদের সমাজে একে অপরের জন্য সহানুভূতি ও সহযোগিতা সৃষ্টি হয়, যা দুঃসময়ে একে অপরকে সহায়তার হাত বাড়িয়ে দেয়।</t>
  </si>
  <si>
    <t>মানব বিবেকই আল্লাহর এক নিয়ামত—যা দয়া, ন্যায় ও জুলুমবিরোধিতার পথে চালিত করে।</t>
  </si>
  <si>
    <t>২০১৭ গঙ্গাচড়া সাম্প্রদায়িক সহিংসতা হল ২০১৭ সালের ১০ নভেম্বর রংপুরের গংগাচড়া উপজেলায় ঠাকুরপাড়া ও ব্রাহ্মণপাড়া গ্রামে ইসলাম ধর্ম অবমাননার অজুহাতে জামায়াতে ইসলামীর উগ্রপন্থীদের দ্বারা হিন্দুদের উপর করা হামলা।</t>
  </si>
  <si>
    <t>বৌদ্ধ ধর্মীয় স্থাপত্য আমাদের দেশে ও কিন্তু কম না। বাংলাদেশের গৌরবময় অতীতকে তুলে ধরে প্রাচীন সোমপুর বিহার বৌদ্ধ ঐতিহ্যের নিদর্শন।</t>
  </si>
  <si>
    <t>সামান্য প্রতিরোধের পর সুরেন্দ্রনাথ বসু ধারাল অস্ত্রাঘাতে গুরুতর আহত হন। মুসলিম জনতা তাকে জীবন্ত আগুনে পুড়িয়ে হত্যা করে। পাশের গ্রামের ডাক্তার রাজকুমার পাল সাহায্যে এগিয়ে আসলে মুসলিম দুর্বৃত্তরা তাকে ছুরিকাহত করে।</t>
  </si>
  <si>
    <t>যে পর্দার আড়ালে ধর্মের নাম করে নিজেকে ধার্মিক সাজায়, সেই রাতের আঁধারে পাড়ার পল্লীতে গিয়ে পাপে লিপ্ত হয়—এমন ভণ্ড মুসলমানের অভাব নেই।</t>
  </si>
  <si>
    <t>তানোর, নাচোল, গোমস্তাপুর পুলিশ স্টেশনের নিয়ন্ত্রণাধীন গ্রাম্যএলাকা গুলোতে বৃহৎ পরিসরে বীভৎস হত্যা, ধর্ষণ, লুটপাট, অগ্নিসংযোগ শুরু করা হয়।[৩৬] হিন্দুদের ঘরবাড়ি জোর করে দখল করে নেয় মুসলিমরা। হিন্দু মহিলাদেরকে গণধর্ষণ করে তারা।</t>
  </si>
  <si>
    <t>বাংলাদেশে ইসলাম ও নবী সম্পর্কে গুজব ছড়িয়ে অস্থিরতা সৃষ্টির চেষ্টা করা হচ্ছে, যা সরকার নিষিদ্ধ করেছে।</t>
  </si>
  <si>
    <t>চলতি বছরের ৩০ জুন পর্যন্ত দেশের সংখ্যালঘু হিন্দু সম্প্রদায়ের ৭৯ জনকে হত্যা করা হয়েছে জানিয়ে বাংলাদেশ জাতীয় হিন্দু মহাজোটের মহাসচিব গোবিন্দ চন্দ্র প্রামাণিক দাবি করেছেন, এ সময়ে আরও ৬২০ জনকে হত্যার হুমকি, ১৪৫ জনকে হত্যার চেষ্টা, ১৮৩ জনকে জখম-আহত ও ৩২ জন নিখোঁজ হয়েছেন।</t>
  </si>
  <si>
    <t>যদি আমরা আল্লাহর নির্দেশনা অনুসরণ করি, তাহলে আমাদের জীবনে কঠিন মুহূর্তে ধৈর্য এবং শান্তি বজায় থাকে।</t>
  </si>
  <si>
    <t>আল্লাহর আদেশ মেনে চললে আমাদের দেহ ও মন শান্ত থাকে, এবং আমরা সঠিক পথের উপর থাকি, যা আমাদের জীবনের লক্ষ্য পূরণে সাহায্য করে।</t>
  </si>
  <si>
    <t>বুদ্ধদেবের পূর্বপুরুষেরা হিন্দু ছিলেন। বুদ্ধদেব একমাত্র সর্বত্যাগী ছিলেন। তিনি ছিলেন প্রকৃত ধার্মিক। তাঁর বাণীগুলো বেদে পাওয়া যায়। আমি বুদ্ধদেবকে শ্রদ্ধা করি, ভক্তি করি, প্রণাম করি।</t>
  </si>
  <si>
    <t>বাংলাদেশে একটি ম্যাগাজিনে ইসলামের নবীর ব্যঙ্গচিত্র প্রকাশের পর ইসলামী উগ্রবাদীরা হামলা চালিয়ে ১২ জনকে হত্যা করে, যা ধর্মীয় উত্তেজনা সৃষ্টি করে।</t>
  </si>
  <si>
    <t>মুসলমানদের মধ্যে কিছু উগ্র গোষ্ঠী নিজেদের ধর্মকে অন্য ধর্মের থেকে শ্রেষ্ঠ মনে করে অন্যদের অবমাননা করে এবং সহিংসতা সৃষ্টি করে।</t>
  </si>
  <si>
    <t>কুরআন হলো ইসলামের মূল এবং প্রধান ধর্মীয় গ্রন্থ। মুসলিমরা বিশ্বাস করেন যে, এটি আল্লাহর বাণী যা প্রধান ফেরেশতা জিব্রাইলের মাধ্যমে ধীরে ধীরে ২৩ বছর ধরে মুহাম্মাদের নিকট প্রত্যাদেশ হিসেবে অবতীর্ণ হয়েছে।</t>
  </si>
  <si>
    <t>প্রতিশোধের নামে ধর্মের দোহাই দিয়ে সংঘটিত হয় সংঘর্ষ, যা এক ধরনের ধর্মীয় উসকানি ও সহিংসতা সৃষ্টি করে।</t>
  </si>
  <si>
    <t>বিশেষ করে দুই নং ঢাকেশ্বরী কটন মিলের হিন্দু শ্রমকিদের বাসস্থান গুলো এই ঘৃণ্য আক্রমণের শিকার হয় এবং সে গুলোকে পুড়িয়ে ছাই করে ফেলা হয়।দুই নং ঢাকেশ্বরী কটন মিলে উন্মত্ত মুসলিমদের সৃষ্ট অগ্নিকাণ্ড সম্পর্কে মিলের ব্যবস্থাপক সত্যেন রায় ব্যবস্থাপনা পরিচালক সুনীল বসুকে রাত তিনটার সময় অবগত করেন এবং অনতিবিলম্বে পুলিশ ও সেনাবাহিনীর প্রয়োজনীয়তা সম্পর্কে বলেন।</t>
  </si>
  <si>
    <t>বিশ্বস্ততা এবং সৌহার্দ্য প্রদর্শন করতে আল্লাহ কুরআনে সমস্ত মানুষের প্রতি ভালোবাসা এবং সম্মান প্রদর্শনের আহ্বান জানিয়েছেন, যদিও তারা ভিন্ন ধর্মাবলম্বী।</t>
  </si>
  <si>
    <t>আলহামদুলিল্লাহ, আমিও এটি শুনলে অন্যরকম হয়ে যাই, কান্নাও চলে আসে। এই ভিডিওটি যখনই শুনি, তখন আমার মধ্যে এক অন্যরকম শান্তি কাজ করে।</t>
  </si>
  <si>
    <t>নবীজীর কথার উপরেরও আমল হবে: বিধর্মীদের সাথে বৈসাদৃশ্য অবলম্বন করো।</t>
  </si>
  <si>
    <t>মধ্যরাতে মুসলিমদের হামলায় চকবাজারের প্রায় ১,৫০০ হিন্দু পরিবার বাড়ি ছেড়ে পালাতে হয়। প্রায় ২০০ মুসলিম রিয়াজউদ্দিন বাজারের হিন্দু মন্দির ভাঙচুর ও ব্যবসা প্রতিষ্ঠান লুটপাট করে।</t>
  </si>
  <si>
    <t>ভুয়া ফেসবুক অ্যাকাউন্টে কোরআন অবমাননার ছবি ট্যাগের প্রতিক্রিয়ায় জনতা ১২টি বৌদ্ধ মন্দির ও মঠ এবং ৫০টি বাড়ি ধ্বংস করে।</t>
  </si>
  <si>
    <t>জুনাইদ হাফিজের প্রথম আইনজীবী ২০১৪ সালে মামলার দায়িত্ব নেওয়ার পর গুলি করে হত্যা করা হয়।</t>
  </si>
  <si>
    <t>বাংলাদেশের সিলেটি হিন্দু, ইয়াহুদী এবং খ্রিস্টানরা অনেক সময় ঈশ্বর বুঝাতে আল্লাহ শব্দটি ব্যবহার করে থাকেন।</t>
  </si>
  <si>
    <t>যতবারই মন অস্থির হয়, এই ভিডিওটা দেখি। আল্লাহর করুণায় মনে শান্তি পাই, চিন্তা দূর হয়ে যায়। বিশ্বাস করি তিনি আছেন বলেই সব ঠিক হয়ে যাবে ইনশাআল্লাহ।</t>
  </si>
  <si>
    <t>১৯৫০ সালে শ্রীলঙ্কায় অনুষ্ঠিত ‘ওয়ার্ল্ড ফেলোশিপ অফ বুদ্ধিস্ট’ এর প্রথম কনফারেন্সে বৈশাখ মাসের এই পূর্ণিমা তিথিটিতে বুদ্ধের জন্মদিবস পালন করার সিদ্ধান্ত গৃহীত হয়।</t>
  </si>
  <si>
    <t>মৃত্যু একটি বিনাশকারী সময়, যা মানুষের অন্তরের শান্তির অনুভুতি উপহার করে। জীবন পরিণতির সময়ে ধর্মীয় বিশ্বাস আপনাকে সহায়ক করতে পারে।</t>
  </si>
  <si>
    <t>বাংলাদেশের প্রধানমন্ত্রী মানবতার প্রতীক হিসেবে আমাদের আস্থাভাজন। বৌদ্ধ সম্প্রদায় হিসেবে আমরা আশাবাদী যে সাম্প্রতিক ঘটনা ন্যায়বিচারের মাধ্যমে সমাধান হবে।</t>
  </si>
  <si>
    <t>সেপ্টেম্বরে শত্রুদের নৃশংসতা কমে গেলে, ১৬ সেপ্টেম্বর কৃষ্ণপুর থেকে একদল লোক লাখাই গিয়ে নৌকায় আটক হয়। ধর্মীয় সম্প্রদায় শান্তির জন্য প্রার্থনা করে।</t>
  </si>
  <si>
    <t>ইসলামের শত্রু মুসলমানরাই হয়ে দাঁড়িয়েছে আজকাল। মুসলমানরাই মুসলমানকে মারছে ধর্মের নামে। ইসলামবিরোধী মনোভাব এখন মুসলিমদের মধ্যেই বেশি দেখা যায়।</t>
  </si>
  <si>
    <t>টাঙ্গাইলে পাঁচ মন্দিরে প্রতিমা ভাঙচুর</t>
  </si>
  <si>
    <t>১৯৬৪ সালের ২ জানুয়ারি হজরতবাল ঘটনার পর মুসলিমরা হিন্দুদের পায়ে জুতো পরা, মাথায় ছাতা ব্যবহার এবং রিকশায় চড়তে বাধা দেয়।</t>
  </si>
  <si>
    <t>পটুয়াখালী জেলার একটি গ্রামে হিন্দু ও মুসলিম সম্প্রদায়ের মধ্যে বিদ্যমান দ্বন্দ্ব আগুন ধরে সংঘর্ষে রূপ নেয়। এ সংঘর্ষে ২৮ জন নিহত হন এবং গ্রামের বহু বাড়িঘর ও ধর্মীয় স্থান পুড়িয়ে দেওয়া হয়। ক্ষতিগ্রস্ত পরিবারগুলো অতি শিগগিরই পুনর্বাসনের জন্য সাহায্যের জন্য সরকারের দ্বারস্থ হয়।</t>
  </si>
  <si>
    <t>পৃথ্বীশ দাস নামে একজন হিন্দু যুবককে জিন্দাবাজারে ছুরি দিয়ে কোপানো হয়। ১৪ ফেব্রুয়ারি গুজব ছড়ানো হয় আসামের করিমগঞ্জে মুসলিমদেরকে হত্যা করা হচ্ছে। আইনজীবীদের একটি সমাবেশে সিলেটের ডেপুটি কমিশনার তার বক্তব্যে ইচ্ছে করে উল্লেখ করেন, করিমগঞ্জে ৫,০০০ মুসলিমকে হত্যা করা হয়েছে এবং সেখানকার বিশাল সংখ্যক মুসলিম জনগোষ্ঠী সিলেটে আশ্রয়ের জন্য এসেছে। সেদিনই সন্ধ্যায় মতি দাস নামক একজন হিন্দুকে জালালপুরের কাছে হত্যা করা হয়। তিনজন মনিপুরীকে কোপানো হয়, যাদের মধ্যে দু’জন মৃত্যুর কোলে ঢলে পড়ে।</t>
  </si>
  <si>
    <t>মাধবপাশায় হিন্দু শিক্ষকদের জীবন্ত পুড়িয়ে হত্যা করা হয়, এবং প্রায় ২০০ হিন্দুকে কেটে হত্যা ও আহত করা হয়।</t>
  </si>
  <si>
    <t>যে বছরটি আমরা সবে পার হয়ে এসেছি, সেই ২০১৫ সালে জঙ্গিরা চারজন মেধাবী তরুণ লেখক-ব্লগার-প্রকাশককে হত্যা করেছে, বিভিন্ন ধর্মীয় উপাসনালয়ে হামলা করে নিরীহ মানুষ খুন করেছে। এই জঙ্গিরা কেড়ে নিয়েছে দুজন বিদেশি নাগরিকের জীবন, যাঁরা এ দেশে এসেছিলেন মানবসেবার ব্রত নিয়ে।</t>
  </si>
  <si>
    <t>এই এশিয়াতে বিশেষ করে মধ্যপ্রাচ্যে , দক্ষিণ এশিয়ায় যে এত সব ধর্মের ধ্বজাধারী অথচ এখানেই চুরি ডাকাতি , রাহাজানি , ধর্ষণ , গৃহকর্মী ধর্ষণ , ধর্মাবমাননার নামে হিন্দুদের জ্বালাও পোড়াও , গোহত্যা নিধনের জন্য মানুষ পেটানো এগুলো যদি নাও ধরা হয় তবুও একেকটা দেশ দূর্নীতির শিরোমণি তাহলে কি বলবেন ? একেকজন এত শিক্ষিত তারা কি ধর্ম সম্পর্কে জ্ঞান রাখে না ?</t>
  </si>
  <si>
    <t>বন্দুকের গুলির সামনে জোড় করে হিন্দুদের তাদের ঘর থেকে বের করে নিয়ে আসা হয় এবং আদিত্যপুর সরকারি স্কুলের সামনে সমবেত করানো হয়। পঁয়ষট্টি জন লোককে বাধা হয় এবং শুটিং স্কোয়াডের সামনে দাঁড় করানো হয়।</t>
  </si>
  <si>
    <t>আখড়াবাড়ি এলাকায় তিন-চারটি মন্দিরে হামলা ও আগুন দিয়েছে৷ দিঘলিয়া বাজারে সাত-আটটি দোকানে হামলা ও লুটপাট চালিয়েছে৷ ঘটনাস্থল সরেজমিন পরিদর্শন করে সাংবাদিক সুলতান হোসেন জানান, গোবিন্দ সাহারা বাড়িটি পুরোপুরি ভস্মিভূত৷ অন্যান্য বাড়ি ঘরেও হামলা ও লুপপাট চালানো হয়৷ ওই এলাকার হিন্দুরা বাড়িঘরে তালা মেরে ভয়ে অন্যত্র চলে গেছেন৷</t>
  </si>
  <si>
    <t>সুরা ফাতিহা পাঠের পর মনে হলো আমি ঘরে ফিরেছি। আমি ইসলাম গ্রহণ করলাম এবং একত্ববাদের বিশ্বাস অটুট রেখেছি। আলহামদুলিল্লাহ!</t>
  </si>
  <si>
    <t>আসলে যে বা যারা-ই এই কাজ করেছে সে হতে পারে মুসলিম নামধারী কোন ভণ্ড বা তেমনই হিন্দু নামধারী কোন অমানুষ, বা অন্য ধর্মের! হতে পারে আশেপাশের কোন দেশ হতে টাকার বিনিময়ে লেলিয়ে দেওয়া কোন বেজন্মা! যার প্রকৃত উদ্দেশ্যই ছিল শান্তিপ্রিয় হিন্দু-মুসলমান এর একটা দাঙ্গা বাধানো!</t>
  </si>
  <si>
    <t>ভাই সাংবাদিক সব দেশের সরকার বিরোধিতা হতে পারে আমাদের বাংলাদেশ সরকার বা বা জনগণ কেউ বিরোধিতা করবে না কারণ আমি মনে করি আমাদের মুসলমান ঈমান দুর্বল হয়ে গেছে</t>
  </si>
  <si>
    <t>টেলিযোগাযোগ নিয়ন্ত্রণ কর্তৃপক্ষ অনলাইন বিশ্বকোষ উইকিপিডিয়া থেকে ধর্ম অবমাননাকর বিষয় অপসারণ করতে ব্যর্থ হওয়ার অভিযোগে ওয়েবসাইটটি ব্লক করে দিয়েছে।</t>
  </si>
  <si>
    <t>রাজা দীনেন্দ্র স্ট্রিটের অধিকাংশ হিন্দু বাড়িতে অগ্নিসংযোগ হয়েছে।</t>
  </si>
  <si>
    <t>২০২১ সালের মার্চে এক ধর্মীয় গোষ্ঠীর হামলায় ৩২ জন নিহত হয় এবং বহু পরিবার তাদের বাড়ি হারায়।</t>
  </si>
  <si>
    <t>ঢাকা ও পূর্ব বাংলার হিন্দুসমাজের নির্দিষ্ট এলাকায় হত্যা ও হিন্দু মালিকানাধীন কলকারখানা ও ব্যবসাপ্রতিষ্ঠানে হামলা চালানো হয়েছে।</t>
  </si>
  <si>
    <t>তিনি ধর্মবিরোধীদের বিরুদ্ধে ধ্বংসের সমস্ত উপায় ব্যবহার করার পরামর্শ দিয়েছিলেন, তবে রক্তপাত ছাড়াই 'আত্মাকে বাঁচানোর' নামে। ধর্মদ্রোহীরা নিমজ্জিত হয়েছিল। নোভগোরড বিশপ গেনাডি গনজভ জার ইভান III এর কাছে ফিরে গিয়ে ধর্মবিরোধীদের মৃত্যুর অনুরোধ করেছিলেন। গেনাডি স্প্যানিশ অনুসন্ধিৎসাকারীদের প্রশংসা করেছিলেন, বিশেষ করে তার সমসাময়িক টরকেমাদা , যারা 15 বছর ধরে অনুসন্ধানের কার্যকলাপে</t>
  </si>
  <si>
    <t>ঠাকুরগাঁওয়ে একটি শীতলা মন্দিরে প্রবেশ করে ধাতব প্রতিমাগুলোর হাত ভেঙে দেয় এবং মন্দিরে লাল কালি ছিটিয়ে দেয়।</t>
  </si>
  <si>
    <t>বাংলা সাময়িকী ‘দেশের বাণী’ তাদের একটি সংবাদে নোয়াখালীর একজন উদ্ধারকর্মীর বরাত দিয়ে উল্লেখ করে, দাঙ্গা পরবর্তী চার মাস পার হয়ে গেলেও হিন্দুরা তাদের বাড়িতে ফিরতে পারেনি।</t>
  </si>
  <si>
    <t>আল্লাহর গজব থেকে বাঁচতে হলে সঠিক পথ অনুসরণ করা উচিত। যদি কেউ ভুল পথে চলে, তবে তাদের জন্য ফিরে আসার সুযোগ রয়েছে, কারণ আল্লাহ পরম দয়ালু এবং ক্ষমাশীল।</t>
  </si>
  <si>
    <t>চট্টগ্রামে সংখ্যালঘুদের ওপর কর চাপিয়ে দিতে না পারায় তাদের বাড়িঘর ধ্বংস করে; এতে ২৫ জন নিহত হন।</t>
  </si>
  <si>
    <t>আত্মহত্যার পর নানারকম কথা শোনা যায়, কিন্তু কেউ কি একবারও ভেবে দেখে ঠিক কতটা অসহায় বোধ করলে একটি মানুষ আত্মহত্যার মতন সিদ্ধান্ত নিতে পারে?</t>
  </si>
  <si>
    <t>আহ আফসোস, মুসলিম প্রধান দেশের মুসলিম নাগরীক হয়েও ইসলামের হুকুম আদায়ে কথিত মুসলিমের হাতেই নির্যাতিত হতে হয়।</t>
  </si>
  <si>
    <t>ব্রাহ্মণবাড়িয়ায় ধর্মীয় সহিংসতায় সংখ্যালঘু সম্প্রদায়ের ওপর হামলায় অন্তত ৪০ জন নিহত হন।</t>
  </si>
  <si>
    <t>কক্সবাজারের রামুতে উত্তর মিঠাছড়ি প্রজ্ঞামিত্র বন বিহার এবং বিমুক্তি বিদর্শন ভাবনা কেন্দ্র-তে এই উৎসব পালিত হয়। সংঘদান, অষ্টপরিষ্কার দান, ধর্মসভা, চীবর ও কল্পতরু শোভাযাত্রা, ও আকাশে ফানুস ওড়ানোর মাধ্যমে উৎসব অনুষ্ঠিত হয়ে থাকে।</t>
  </si>
  <si>
    <t>শিক্ষাব্যবস্থা থেকে ধর্ম সরিয়ে জড় সভ্যতার মেকি সফলতার বিষয়বস্তু অন্তর্ভুক্ত করা হচ্ছে।</t>
  </si>
  <si>
    <t>কক্সবাজারের একটি মসজিদের প্রাচীরে কাটা গাছ পুঁতে দেয়া হয় এবং ধর্মীয় বিদ্বেষমূলক স্লোগান লেখা হয়, যা মুসল্লিদের মাঝে ক্ষোভ ছড়ায়।</t>
  </si>
  <si>
    <t>গবেষকরা দেখতে পেয়েছেন, যখন একদল মানুষের ধর্মবিশ্বাস বা মূল্যবোধের ওপর বারবার আঘাত করা হয়, তখন ধর্মীয় সহিংসতার সম্ভাবনা অনেক বেড়ে যায়। তারপরেও যাদের মডেল হিসাবে নেয়া হয়েছে, তার মাত্র কুড়ি শতাংশ সহিংসতায় জড়িয়েছে।</t>
  </si>
  <si>
    <t>৯ এপ্রিল ২০২৩ ফেনীর ছাগলনাইয়ায় একটি ছোট কৃষ্ণমন্দিরে প্রতিমার গায়ে তেল ঢেলে আগুন ধরিয়ে দেয়া হয়</t>
  </si>
  <si>
    <t>বৌদ্ধবাদের ধ্বংস প্রকল্পের অংশ হিসেবে গৌতম বুদ্ধকে হিন্দু বিষ্ণুর অবতার দাবি করে ব্রাহ্মণ্যবাদের প্রভাব বাড়ানো হয়, যা বৌদ্ধদের সামাজিক অবহেলা ও নিশ্চিহ্নতার দিকে নিয়ে যায়।</t>
  </si>
  <si>
    <t>ব্রাহ্মণরা বৌদ্ধদের অনুকরণ করে নিরামিষাশী হয় এবং রাম-কৃষ্ণ বন্দনা শুরু করে। বৌদ্ধ ধর্মের অবসানে মহাকাব্য রচিত হয় যা বৌদ্ধদের শুদ্র হিসেবে ফিরিয়ে আনার চেষ্টা ছিল।</t>
  </si>
  <si>
    <t>কথিত আছে অনেক জায়গায় দলিত শান্তিপূর্ণভাবে হিন্দু ধর্ম ত্যাগ করে বৌদ্ধ ধর্ম গ্রহণ করেছেন, কারণ তাঁরা বৌদ্ধ ধর্মের সমতা ও অহিংসার শিক্ষায় আস্থা রেখেছেন।</t>
  </si>
  <si>
    <t>গারুড়পুরের নবীননগর এলাকায় দুর্বৃত্তের গুলিতে দুই বাংলাদেশি নিহত হয়েছেন, তাদের একজন স্থানীয় মসজিদের ইমাম ও অপরজন তার সহকারী ছিলেন।</t>
  </si>
  <si>
    <t>আজকের যুগে আরবি ভাষাভাষী খ্রিস্টানরাও ঈশ্বর বলতে 'আল্লাহ' শব্দটিই ব্যবহার করেন, কারণ এটি ধর্মীয়ভাবে সবচেয়ে উপযুক্ত ও শ্রদ্ধার সঙ্গে উচ্চারিত হয়।</t>
  </si>
  <si>
    <t>নারায়ণগঞ্জে ধর্মীয় গোষ্ঠীর মধ্যে সংঘর্ষে ৪২ জন নিহত হন। পুলিশ সহিংসতা দমনে ব্যর্থ হয়, সরকার শান্তি বজায় রাখার আহ্বান জানায়। অনেক সংখ্যালঘু পরিবার নিরাপত্তার জন্য আশ্রয় খুঁজে নেয়।</t>
  </si>
  <si>
    <t>ভগবান বুদ্ধ ধর্ম যারা প্রচার করছেন। আমি তাদের প্রতি আমার জন্ম জন্মন্তের পূর্ণফল দান করছি।</t>
  </si>
  <si>
    <t>চাঁপাইনবাবগঞ্জে ধর্মীয় গোষ্ঠীর সংঘর্ষে ২৯ জন নিহত হয়; আহত হয় বহু মানুষ।</t>
  </si>
  <si>
    <t>ধর্মীয় সংখ্যালঘু নির্যাতন,সংখ্যালঘুদের জীবনাচরণ, খাদ্যাভ্যাস নিয়ে টানাটানি।আমরাও দেখি হিন্দু বিরোধী কথা বলে সস্তা জনপ্রিয়তা অর্জন করতে।আসলে আমরা এখন ধার্মিক নয় সাম্প্রদায়িক হয়ে যাচ্ছি।</t>
  </si>
  <si>
    <t>দোভাষীর নাম ধর্ম নয়, ধর্ম হলো পরিপূর্ণ মেনে জীবন কে অতিবাহিত করা।</t>
  </si>
  <si>
    <t>কুরআন নাহয় ষড়যন্ত্রকারীরাই দিলো। কিন্তু কুরআনটি ছিল দৃশ্যমান জায়গায়। তাহলে পূজামণ্ডপের দায়িত্বশীল ব্যক্তিবর্গ এটি সরিয়ে ফেলল না কেন? এদের আইনি জবাবদিহিতে আনা উচিত।</t>
  </si>
  <si>
    <t>যেকোনো ধর্মের কোন পবিত্র গ্রন্থকে নিয়ে কারো বিরূপ আচরণ করা ঠিক না। বিশ্বের সবচেয়ে পবিত্র গ্রন্থ মুসলিম ধর্মের আল কোরআন। আলহামদুলিল্লাহ।</t>
  </si>
  <si>
    <t>ধর্মীয় মতাদর্শের বিরোধের কারণে বহু নিরীহ মানুষ প্রাণ হারিয়েছে, যা সমাজে ভয়াবহ অস্থিরতা ও সহিংসতা সৃষ্টি করেছে।</t>
  </si>
  <si>
    <t>আগুনের সামনে উঁচু বাঁশের মাচা তৈরি করা হয়েছিল, যেখানে বিধবা উঠেই আগুনে ঝাঁপ দেয়।</t>
  </si>
  <si>
    <t>২০১৭ সালের জানুয়ারিতে এক ধর্মীয় গোষ্ঠী ধর্মীয় অনুভূতিতে আঘাত দেওয়ার অভিযোগে শিল্পীর প্রদর্শনীতে হামলা চালায়; এতে ১৬ জন নিহত হয়।</t>
  </si>
  <si>
    <t>ধর্ম হচ্ছে যা ধারণ করে সৃষ্টি সুশৃঙ্খল ভাবে টিকে থাকে । সনাতন ধর্ম কোনো নির্দিষ্ট ধর্মগ্রন্থের উপর নির্ভরশীল নয় ।</t>
  </si>
  <si>
    <t>মুসলমানদের মধ্যে কিছু উগ্রবাদী গোষ্ঠী নিজেদের ধর্মকে অন্য ধর্মের উপরে প্রতিষ্ঠিত করতে চায় এবং অন্য ধর্মের প্রতি অবজ্ঞাসূচক মনোভাব পোষণ করে।</t>
  </si>
  <si>
    <t>আট বছর আগে ২০১২ সালে কক্সবাজারের রামু, উখিয়া এবং টেকনাফে ফেসবুকে গুজবের জের ধরে ১৩টি বৌদ্ধ মন্দিরে এবং তাদের বসতবাড়িতে অগ্নিসংযোগের ঘটনা ঘটেছিল। সেই ঘটনায় ১৯টি মামলার কোনটিরই এখনও বিচার হয়নি।</t>
  </si>
  <si>
    <t>দীনকৃষ্ণ ঠাকুর সনাতনধর্ম নিয়ে যে-ই ধরনের কটুক্তি বা বাজে মন্তব্য করেছেন,</t>
  </si>
  <si>
    <t>হুজুর আপনারা ছোট্ট করে ভিডিও বার্তা দিয়ে দেন,কোন মুসলিম যাতে হিন্দুদের বাড়ি ঘর না ভাংগে,পুজামন্ডপ না ভাংগে,ওরা চাইসেই এটা,যাতে ইন্টারন্যাশনাল মিডিয়া কে বলা যায় যে দেখেন বাংলাদেশে ও মাইনরিটির প্রতি অত্যাচার হয়</t>
  </si>
  <si>
    <t>কিছুদিন আগে ধামরাইয়ে গড়ে ওঠে ইসলামবিরোধী একটি সংগঠন, যার কর্মী-সমর্থকদের তৎপরতায় ভীত-সন্ত্রস্ত হয়ে উঠেছে সেখানকার মুসলিমরা</t>
  </si>
  <si>
    <t>সিরাজগঞ্জে একটি রাধা-গোবিন্দ মন্দিরে আগুন দিয়ে মাটির প্রতিমা ও পর্দাসহ মণ্ডপ সম্পূর্ণ ছাই করে দেয়া হয়।</t>
  </si>
  <si>
    <t>প্রবারণা পূর্ণিমা বৌদ্ধ ধর্মাবলম্বীদের পালিত একটি একটি অন্যতম প্রধান ধর্মীয় উৎসব; যা আশ্বিনী পূর্ণিমা নামেও পরিচিত।</t>
  </si>
  <si>
    <t>৯১% মুসলিমের দেশ সেখানে সব জায়গায় ই ইসলামের বিরোধিতা।</t>
  </si>
  <si>
    <t>২০১২ সালে কক্সবাজারের রামুতে এক বৌদ্ধপল্লীতে একই অভিযোগ তুলে হামলা চালিয়ে আগুন ধরিয়ে দেয়া হয়েছিল। আর গত বছর ব্রাহ্মণবাড়িয়ার নাসিরনগরে অনেকটা একই কায়দায় একটি হিন্দু পল্লীতে হামলা চালানো হয় একই ধরণের অভিযোগ তুলে।</t>
  </si>
  <si>
    <t>চট্টগ্রামে বৌদ্ধ ও মুসলমান সম্প্রদায়রে মধ্যে যে সম্প্রীতি ছিল, ওই হামলার পর তা পুরোপুরি বদলে যায়।</t>
  </si>
  <si>
    <t>কারফিউ ঘোষণা করার পর থেকেই অনেকে বুড়িগঙ্গা পেরিয়ে ওপারে চলে গেছিল। ২৭শে মার্চ বিকেলে ১১ জন স্থানীয় হিন্দুকে মালাকারতলা গলিতে বিহারিলাল মন্দিরের সামনে লাইন দিয়ে হাঁটু মুড়ে বসিয়ে রাখে। এদের মধ্যে ঢাকা বিশ্ববিদ্যালয়-এর বায়োকেমিস্ট্রির গবেষক ও শিক্ষক ডঃ হরিনাথ দে ছিলেন।[১] তারপর এদেরকে থানার মধ্যে বন্দি করে রাখা হয়।</t>
  </si>
  <si>
    <t>আবারো জয় হলো পশুত্বের পরাজয় হলো মানবতার, ধর্মের! একটা মানুষকে খুঁচিয়ে খুচিয়ে আত্মহত্যার দিকে ঠেলে দেয়া হলো! খুব শকড হলাম নিউজ টা জেনে.</t>
  </si>
  <si>
    <t>খ্রিস্টান সম্প্রদায়ের কিছু সদস্য ধর্মান্তরের নামে সমাজে বিভাজন সৃষ্টি করে।</t>
  </si>
  <si>
    <t>তিনি বলছিলেন, “নবী সাল্লাল্লাহু আলাইহি ওয়াসাল্লামকে নিয়ে কটুক্তি করা হয়েছে—এটা মুসলিম ধর্মীয় সম্প্রদায়ের জন্য গভীর আঘাত। এইটা নিয়া প্রতিবাদ তো হবেই।</t>
  </si>
  <si>
    <t>যখন জেএমবির দ্বারা বোমা বিষ্ফোরণের ঘটনা ঘটল তখন সারা দেশের আলেম-উলামা এর বিরুদ্ধে বক্তব্য দিয়ে তাদের অবস্থান পরিষ্কার করেছেন। সংখ্যালঘু নেতাদের এমন অবস্থান কি দেখা গেছে?</t>
  </si>
  <si>
    <t>বাংলাদেশের বিভিন্ন অঞ্চলে সংঘর্ষের শুরু থেকেই বাংলাদেশকে সমর্থন দিয়ে আসছে এক বিদেশি দেশ। পাশে থাকার প্রতিশ্রুতির অংশ হিসেবে বাংলাদেশকে সামরিক সহায়তাও দিচ্ছে সেই দেশটি।</t>
  </si>
  <si>
    <t>আল্লাহ বলেন যে, পশুরাও তাঁর সৃষ্টি, এবং তাদের প্রতি অন্যায় করা হলে এর প্রতিদান অবশ্যই দিতে হবে, কারণ তিনি সকলের বিচারক।</t>
  </si>
  <si>
    <t>৩০ অক্টোবর থেকে ২ নভেম্বর পর্যন্ত হিন্দুদের উপর ধারাবাহিক হামলা হয়।</t>
  </si>
  <si>
    <t>২০১৮ সালের এপ্রিল মাসে এক গোষ্ঠী ধর্মীয় গোষ্ঠীর মধ্যে সংঘর্ষে ৩০ জন নিহত হন; বহু লোক আহত হয়।</t>
  </si>
  <si>
    <t>২০১৯ সালের ২০ অক্টোবর ভোলার বোরহানউদ্দিনে ফেসবুক পোস্টের অজুহাতে হিন্দুদের ঘরে হামলা হয়, পরে জানা যায় আইডিটি হ্যাক হয়েছিল।</t>
  </si>
  <si>
    <t>আমরা ধর্ম নিয়ে কোন ভাবে যুদ্ধ করতে চাই না। সবাই যেন নিজ নিজ ধর্ম স্বাধীনভাবে পালন করতে পারি এটাই আমাদের প্রত্যাশা</t>
  </si>
  <si>
    <t>বাংলাদেশে হিন্দু-মুসলিম সম্পর্ক সাধারণত শান্তিপূর্ণ। আমার কলেজ জীবনে হিন্দু বন্ধুর সাথে ভালো সম্পর্ক ছিলো, আমরা একসাথে টিফিন করতাম এবং সালাতের সময় আলাদা থাকতাম।</t>
  </si>
  <si>
    <t>সিলেটে পুরাতন একটি মন্দিরে হামলা চালিয়ে একটি প্রাচীন নারায়ণ মূর্তির মাথা ভেঙে ফেলা হয়।</t>
  </si>
  <si>
    <t>কর্মকর্তারা বলছেন, আজ মঙ্গলবার আগুনে পুড়ে যাওয়া একটি বাড়ির পাশে মুসলিম এক তরুণের মরদেহ উদ্ধারের পর সেখানে উত্তেজনা বৃদ্ধি পায়।</t>
  </si>
  <si>
    <t>মাত্র ৩০০-৪০০ জন ভাগ্যবান হিন্দুই বরুণাতে পালানোর সুযোগ পায়। বারবার দেশান্তরের ফলে একমাত্র হিন্দু সংখ্যাগরিষ্ঠ জেলা খুলনাও একসময় মুসলিম সংখ্যাগরিষ্ঠ এলাকায় পরিণত হয়।</t>
  </si>
  <si>
    <t>প্রতিটি নির্বাচনী জনসভায় তিনি বিজেপির হিন্দুত্ববাদী রাজনীতির কঠোর সমালোচনা করেন।</t>
  </si>
  <si>
    <t>আল্লাহ বলেন যে, মানুষের ধর্মীয় পার্থক্য থাকা সত্ত্বেও তাদের মধ্যে ভালোবাসা এবং শান্তিপূর্ণ সহাবস্থান প্রতিষ্ঠা করা সম্ভব, যা তাঁর ইচ্ছা।</t>
  </si>
  <si>
    <t>মিনেসোটার একটি মসজিদে বোমা বিস্ফোরণ ঘটে, যা মুসলিম সম্প্রদায়ের মধ্যে আতঙ্ক সৃষ্টি করে এবং বিদ্বেষমূলক অপরাধ বলে চিহ্নিত হয়।</t>
  </si>
  <si>
    <t>বটতলায় কোরআন তেলাওয়াতের আয়োজন করায় শিক্ষার্থীদের বিরুদ্ধে শাস্তিমূলক ব্যবস্থা না নেওয়ার কারণ আরবী বিভাগকে লিখিতভাবে জানতে চাওয়া হয়েছে কলা অনুষদের চিঠিতে।</t>
  </si>
  <si>
    <t>দুই ধর্মীয় গোষ্ঠীর মধ্যে সংঘর্ষের সময় পুলিশের গুলিতে একজন নিহত হন এবং কয়েকজন আহত হন বলে জানা গেছে।</t>
  </si>
  <si>
    <t>মাদারীপুরে পীরের মাজারে ভক্ত সমাগমের সময় বাইরের উগ্রবাদী গোষ্ঠী হামলা চালিয়ে দানবাক্স লুট করে ও কবরের গেইট ভেঙে ফেলে।</t>
  </si>
  <si>
    <t>কুরআন অবমাননা এই ধরনের কাজ কে তীব্র নিন্দা জ্ঞাপন করছি এবং অচিরেই এর প্রতিফল মহান আল্লাহ পাক ওনাদের দেখাবেন ইনশাআল্লাহ।</t>
  </si>
  <si>
    <t>পৌত্তলিক বিশ্বাসের বিরুদ্ধে কুরআন একেশ্বরবাদ প্রতিষ্ঠিত করে এবং মূর্তিপূজার বিরোধিতা করে।</t>
  </si>
  <si>
    <t>বগুড়ায় সংখ্যালঘুদের উপর হামলায় ৩৩ জন প্রাণ হারান; আহত হয় অনেকেই।</t>
  </si>
  <si>
    <t>মুঘলদের আদেশে নির্মিত একটি উপাসনালয় ১৯৯২ সালে ধর্মীয় উগ্রপন্থীদের দ্বারা ধ্বংস করা হয়, যার ফলে উপমহাদেশজুড়ে সাম্প্রদায়িক সহিংসতার আগুন ছড়িয়ে পড়ে, বাংলাদেশেও প্রভাব পড়ে।</t>
  </si>
  <si>
    <t>হিন্দু ও মুসলিমদের মধ্যে সাম্প্রদায়িক সহিংসতা বাড়ছে, বিশেষ করে বাবরি মসজিদ ভাঙার পর থেকে।</t>
  </si>
  <si>
    <t>ইসলামের সকল ভিজিবল প্রকাশ্য দৃশ্যমান চিহ্নকে ধারণ করুন। যারা যেটুকু ধারণ করতেন, তার থেকে বাড়িয়ে দিন। নবীজীর কথার উপরেরও আমল হবে: বিধর্মীদের সাথে বৈসাদৃশ্য অবলম্বন করো।</t>
  </si>
  <si>
    <t>আল্লাহর নির্দেশনা মেনে চললে আমরা জীবনের উদ্দেশ্য এবং লক্ষ্য বুঝতে পারি, এবং আল্লাহ আমাদের জীবনে সুখ ও শান্তি প্রদান করেন।</t>
  </si>
  <si>
    <t>গুলশান হামলার পর, ৭ জুলাই ঈদের সকালে কিশোরগঞ্জের শোলাকিয়ায় দেশের সবচেয়ে বড় ঈদ জামাতের কাছে নিরাপত্তার দায়িত্বে থাকা পুলিশ সদস্যদের ওপর বোমা হামলা হয়। প্রথম ধাক্কাতেই দুই কনস্টেবল নিহত হন।</t>
  </si>
  <si>
    <t>ধর্মের স্বাধীনতা হচ্ছে বাংলাদেশের সংবিধান দ্বারা নিশ্চিত মৌলিক কাঠামো, যেখানে ধর্মীয় পার্থক্য নির্বিশেষে সকল নাগরিকের সমান অধিকারের আহ্বান জানানো হয় এবং বিভিন্ন ক্ষেএে ধর্মের বৈষম্য নিষিদ্ধ করা হয়।</t>
  </si>
  <si>
    <t>কুমিল্লার একটি মুসলিম অধিক্যত গ্রামে ধর্মীয় সংঘর্ষের কারণে সংখ্যালঘু হিন্দু সম্প্রদায়ের ৪৫ জন নিহত হয়। হামলাকারীরা মন্দির ভেঙে দেয় এবং ঘরবাড়ি ধ্বংস করে দেয়। এই ঘটনায় অনেকে গৃহহীন হয় এবং তাদের জীবিকা ব্যবস্থা স্থায়ীভাবে বিপন্ন হয়। নিরাপত্তা বাহিনী দেরিতে ঘটনাস্থলে পৌঁছায়, ফলে পরিস্থিতি আরো অবনতির দিকে যায়।</t>
  </si>
  <si>
    <t>ঝিনাইদহের একটি ইউনিয়ন পরিষদের সভাপতি শিয়া ধর্মীয় নেতাকে হত্যা দেয়, যা স্থানীয় ও আন্তর্জাতিকভাবে ব্যাপক বিতর্ক ও উত্তেজনার সৃষ্টি করে।</t>
  </si>
  <si>
    <t>ধর্মে কি হানা হানি মারা মারি কে সমর্থন করে।আমার জানা মতে কোন ধর্মেই না। তবে যা ঘটে তাই ঘটনা। কাদের বিশ্বাস করতে বলেন । যারা ঘটনা না ঘটার আগেই বলে দিতে পারে কারা ঘটায়েছে!</t>
  </si>
  <si>
    <t>ওদের সাথে মুসলিমদের যুদ্ধ টা অনেক টা পারিবারিক ধরে নিতে পারেন,,,, মানে যেমন বাবার সম্পত্তি নিয়ে সন্তান রা করে,,,,, পবিত্র ভূমি নিয়ে আব্রাহামিক রিলিজিয়ন এর বিরোধ ঠিক তেমনই ,,,।</t>
  </si>
  <si>
    <t>সিরাজগঞ্জে ধর্মীয় ভিন্নমতের কারণে এক ব্লগারকে প্রকাশ্যে হত্যা করা হয়; বিক্ষোভে ১৮ জন নিহত হন।</t>
  </si>
  <si>
    <t>বাংলাদেশে ইসলামপন্থীরা পরিকল্পিতভাবে হিন্দুদের নিশ্চিহ্ন করছে ধর্মের নামে। কিছুদিন পর এই দেশে একটাও হিন্দু থাকবে না, এটা ইসলামি চরমপন্থার জয় ঘোষণা ছাড়া কিছু নয়।</t>
  </si>
  <si>
    <t>২০২১ সালের চাঁপাইনবাবগঞ্জে হিন্দু শরণার্থীদের উপর লুটপাট ও ভাঙচুরসহ দাঙ্গার ঘটনা ঘটেছিল। অনেক নারী ও শিশু নিরাপদ আশ্রয় খুঁজে পাননি।</t>
  </si>
  <si>
    <t>বরং অচিরেই আমরা দেখতে পাবো ঐ ঘটনায় যারা জড়িত তাদের কিছুই হবেনা। আর যারা প্রতিবাদ করবে শাস্তি দাবি করবে তাদের বিরুদ্ধেই হামলা মামলা হয়রানি শুরু হয়ে যাবে ।</t>
  </si>
  <si>
    <t>ইসলামিক স্লোগান দিয়ে বসতবাড়িতে ঢুকে দুর্বৃত্তরা গ্রামজুড়ে তাণ্ডব চালায়। এ সময় তারা হিন্দু সম্প্রদায়ের লোকজনকে মারধর করে, হুমকি দেয়, অকথ্য ও আপত্তিকর ভাষায় গালাগাল করে।</t>
  </si>
  <si>
    <t>২০১৭ সালের নভেম্বর মাসে এক গোষ্ঠী সংখ্যালঘুদের ওপর হামলা চালিয়ে ২৪ জন নিহত করে, স্থানীয় প্রশাসন সহিংসতা নিয়ন্ত্রণে ব্যর্থ হয়।</t>
  </si>
  <si>
    <t>মার্চে মুসলিমরা গোপন মিটিং করে টিকে থাকা হিন্দুদের হত্যা ও ধর্ষণের হুমকি দেয়। সেপ্টেম্বরে গোলাম সরোয়ার রামগঞ্জে মুসলিমদের জন্য জনসভা ডাকে।</t>
  </si>
  <si>
    <t>বাংলাদেশের দিনাজপুরে মসজিদ করতে দিচ্ছে না মন্দিরের লোকজন। একজন স্থানীয় সাংবাদিক লিখেছে-আমাদের মসজিদ কোথায় নির্মাণ হবে তার ডিসিশন আসে প্রতিবেশী দেশের হাইকমিশন থেকে</t>
  </si>
  <si>
    <t>১৯ নভেম্বর ২০২২ রাজশাহীর পুঠিয়া উপজেলায় নির্মীয়মাণ একটি দুর্গামন্দিরে ঢুকে প্রতিমা গঠনের মাটির ফ্রেম এবং কাঠামো ভাঙচুর করে দেয় দুর্বৃত্তরা</t>
  </si>
  <si>
    <t>কুরআন পুড়ানো শয়তানদের ফাঁসির দাবি করছি। হে আল্লাহ, আমাদের কুরআন রক্ষা করুন। আমীন।</t>
  </si>
  <si>
    <t>হাজারো মানুষের আক্রমণে গ্রাম ছেড়ে আত্মগোপনে যায় হিন্দু সম্প্রদায়ের লোকজন। শাল্লা উপজেলার চেয়ারম্যানের বরাতে জানা যায় শতাধিক বাড়িতে ভাঙচুর করা হয়। বিত্তশালীদের ঘরে লুটপাট বেশি করা হয়।</t>
  </si>
  <si>
    <t>নাসিরনগরের হরিপুর গ্রামের রসরাজ দাস ফেসবুকে কাবা ঘরের সাথে শিবের ছবি জুড়ে দিয়েছেন এই অভিযোগে কিছু ইসলামিক উগ্রপন্থী ২৯ অক্টোবর রসরাজ দাসকে পিটিয়ে পুলিশকে দেয়। তার বিরুদ্ধে ইসলাম অবমাননার মামলা করে তথ্য ও যোগাযোগ প্রযুক্তি আইনের ৫৭(২) ধারায় তাকে জেলে চালান করা হয়।[</t>
  </si>
  <si>
    <t>সাম্প্রদায়িক চিন্তা থেকে গত বছরের ১০ জানুয়ারি আসিফা বানুকে অপহরণ করে গণধর্ষণ ও পরে নির্মমভাবে হত্যা করা হয়। কাঠুয়ার একটি মন্দিরে দিনের পর দিন আটকে রেখে তাকে অভুক্ত রেখে নির্যাতন করা হয় এবং ধর্ষণের পর শ্বাসরোধ করা হয়।</t>
  </si>
  <si>
    <t>এরদোয়ানের আসার পর ময়মনসিংহে উগ্র মুসলিম ধর্ম প্রতিষ্ঠা হয় এবং তখন মুসলিম তরুণরা আইএসে যোগ দিতে দেশের বিভিন্ন প্রান্তে পৌঁছে। অথচ নিউজ চ্যানেলে ময়মনসিংহকে অসাম্প্রদায়িক হিসেবে উল্লেখ করা হয়েছে, যা হাস্যকর।</t>
  </si>
  <si>
    <t>পার্শ্ববর্তী দেশের হিন্দুদের কথায় চলা মুসলমানরা এখন ইসলাম ধ্বংসে ব্যস্ত, নিজেরাই মুসলমানদের মারছে নির্লজ্জভাবে।</t>
  </si>
  <si>
    <t>ঈদে-মিলাদুন্নবী উপলক্ষে তুদুন বিরি গ্রামের অনুষ্ঠানে সেনাবাহিনীর ড্রোন হামলায় অনেক মুসল্লি হতাহত হয়েছেন।</t>
  </si>
  <si>
    <t>জৈন ধর্মে ‘অহিংসা’ শুধু শারীরিকভাবে নয়, ভাবনাতেও কাউকে কষ্ট না দেওয়ার কথা বলা হয়েছে।</t>
  </si>
  <si>
    <t>২০১৭ সালের ডিসেম্বর মাসে এক গোষ্ঠী ধর্মীয় জিগির তুলে রাজনৈতিক দলের সদস্যরা সংখ্যালঘুদের বাড়িতে আগুন দেয়, এতে অন্তত ৪১ জন নিহত হন।</t>
  </si>
  <si>
    <t>জামালপুরে ধর্মান্তরিত খ্রিস্টান ডাক্তারকে জবাই করেছে ইসলামী জঙ্গীরা</t>
  </si>
  <si>
    <t>এবিপি আনন্দ ও জী ২৪ ঘণ্টার কমেন্ট সেকশনে কিছু পুরুষ আফগান মেয়েদের বিষয়ে অবমাননাকর মন্তব্য করছে, যা মুসলিম ছেলেদের দ্বারা করা হয়েছে।</t>
  </si>
  <si>
    <t>চাঁপাইনবাবগঞ্জে খ্রিস্টান পরিবারের বাড়িতে ‘ইসলাম গ্রহণ করো’ লেখা পোস্টার সাঁটানো হয়, পরে ভাঙচুর চালানো হয়।</t>
  </si>
  <si>
    <t>হিন্দুবাড়িঘরে হামলা, ভাঙচুর ও লুটপাটের তীব্র নিন্দা ও প্রতিবাদ জানিয়েছে সংগঠনটি শনিবার জাতীয় প্রেস ক্লাবের সামনে মানববন্ধন কর্মসূচি পালন করে। হামলার সুষ্ঠু তদন্ত করে জড়িত ব্যক্তিদের আইনের আওতায় আনারও দাবি জানানো হয়।</t>
  </si>
  <si>
    <t>নিশ্চয়ই আল্লাহ কাউকে ঠকায় না, আল্লাহ ভরসা, আমার রব অবশ্যই আমাকে দিবে। যে যাই বলুক, আমার বিশ্বাস, আমার রব উত্তম সময়েই আমার মনের আশা পূরণ করে দিবে।</t>
  </si>
  <si>
    <t>সম্প্রতি বাংলাদেশে একজন খ্রিস্টান বসবাসকারী ব্যক্তি কোরআন অবমাননার ঘটনা ঘটিয়েছে। অনেকেই মনে করেন, এই ঘটনার উদ্দেশ্য ধর্মীয় দাঙ্গা উসকে দেওয়া।</t>
  </si>
  <si>
    <t>জৈন ধর্মের অনুসারীরা নিজেদের দেহ এবং মনকে শুদ্ধ করতে, বিভিন্ন আধ্যাত্মিক অনুশীলন ও ত্যাগের মাধ্যমে আত্মানুসন্ধানে বিশ্বাস করেন।</t>
  </si>
  <si>
    <t>অনেক হিন্দু মহিলাকে নিষ্ঠুরভাবে ধর্ষণ করে এবং অসহায় হিন্দু বালিকাদের অপহরণ করে মুসলিমরা।[২৩] সমগ্র জনপদের বাঙ্গালী হিন্দু সম্প্রদায়ের উপর জাতিগত নির্মূলীকরণ অভিযান চালানোর পরে ঐ এলাকার নাম পরিবর্তন করে জাফরাবাদ রাখা হয়।</t>
  </si>
  <si>
    <t>ইবাদত গোপনে নয়, জামাতে নামাজ পড়াই আদর্শ। আল্লাহকে ভালোবেসে ইসলাম প্রচার করাই সঠিক।</t>
  </si>
  <si>
    <t>২০০৩ সাল থেকে ধর্ম ও জাতিগত সংঘাতে লক্ষাধিক মানুষ নিহত ও বাস্তুচ্যুত হয়েছে।</t>
  </si>
  <si>
    <t>মি. এরদোয়ান দু'দিন আগে ইসলাম এবং মুসলিম বিদ্বেষী বলে বর্ণনা করে মন্তব্য করেন যে “মি ম্যাক্রঁর এখন মানসিক চিকিৎসা প্রয়োজন।</t>
  </si>
  <si>
    <t>আক্রমণে কালী এবং মহাদেবের চিত্রগুলি ধ্বংস হয়ে যায়।[৩১][৩২] সন্ধ্যা সাড়ে সাতটার দিকে বরগুনা জেলার বামনা উপজেলার অন্তর্গত বাতাজোর গ্রামে একটি রাধা কৃষ্ণ মন্দিরে আগুন দেওয়া হয়। ১২ মার্চ ভোর আড়াইটার দিকে বরিশালের নিউ ভাটিখানা রোডে দুটি হিন্দু বাড়িতে অজানা অপরাধীরা আগুন ধরিয়ে দেয়।</t>
  </si>
  <si>
    <t>১৯৫০ সাল থেকে শুরু হওয়ার পর ১৯৫৪ সাল থেকে ১৯৮২ সালের মধ্যে সাম্প্রদায়িক সহিংসতার ঘটনাবলীতে হিন্দু-মুসলিম সাম্প্রদায়িক সহিংসতায় প্রায় ১০০০০ মুসলিম নিহত হয়।[</t>
  </si>
  <si>
    <t>২৬ এপ্রিল ২০২৩ নেত্রকোনার কেন্দুয়ায় একটি প্রাচীন রাধাগোবিন্দ মন্দিরে মধ্যরাতে হামলা চালিয়ে মূর্তিগুলো ভাঙচুর করে এবং মন্দিরের দানবাক্স লুট করা হয়</t>
  </si>
  <si>
    <t>সন্ধ্যার দিকে ধর্ম প্রতিমন্ত্রী ফরিদুল হক খান চৌমুহনীতে সাম্প্রদায়িক হামলায় হিন্দু সম্প্রদায়ের ক্ষতিগ্রস্ত উপাসনালয় গুলো পরিদর্শন করেন।</t>
  </si>
  <si>
    <t>ঈশ্বর ও ধর্মের প্রকৃতি কেমন হবে, পৃথিবীর কোন অঞ্চলে কোন ধরনের ধর্মের উৎপত্তি হতে পারে, বা কোথায় কোন ধর্ম সগৌরবে টিকে থাকবে তা হয়তো ভূগোল ও আবহাওয়ার উপর কিছুটা নির্ভর করে।</t>
  </si>
  <si>
    <t>বৌদ্ধ ধর্মের কিছু অনুসারী অন্য ধর্মাবলম্বীদের নিয়ে বিদ্বেষমূলক বক্তব্য দেয় যা সামাজিক ঐক্য ভাঙে।</t>
  </si>
  <si>
    <t>ডাক্তাররা আল্লাহমুখী হয়ে গেছেন। আল্লাহ যেন ভাইকে সুস্থ রাখেন।</t>
  </si>
  <si>
    <t>আল্লাহতালা প্রত্যেককে হেদায়েত করুক। এবং ইসলামকে সঠিকভাবে বুঝার তৌফিক দান করুক।ইসলাম শান্তির ধর্ম তাই সবার মাঝে শান্তি বজায় থাকুক।।</t>
  </si>
  <si>
    <t>একজন রাজনৈতিক নেতার হত্যার পর হিন্দু সম্প্রদায়ের বিরুদ্ধে সহিংসতা ছড়িয়ে পড়ে, যেখানে বহু হিন্দু নাগরিক নিহত হন ও তাদের সম্পত্তি ধ্বংস করা হয়।</t>
  </si>
  <si>
    <t>নোয়াখালীতে হিন্দু-মুসলিম দাঙ্গায় অন্তত ৩৬ জন নিহত হন। সংঘর্ষে ব্যবহৃত হয় আগ্নেয়াস্ত্র এবং ব্যাপক অগ্নিসংযোগ হয়। পরিস্থিতি শান্ত করতে কঠোর পদক্ষেপ নেওয়া হয়।</t>
  </si>
  <si>
    <t>২০১৯ সালের অক্টোবর মাসে এক গোষ্ঠী ধর্মীয় গোষ্ঠীর লোকদের ওপর সন্ত্রাস চালিয়ে ২৫ জন নিহত হয়।</t>
  </si>
  <si>
    <t>এই ভণ্ড মুসলমানরা হাদিস দেখিয়ে ছবি হারাম বলে, আবার সুন্দর জিনিস সব হালাল, এদের ধর্মব্যবসা চলছেই।</t>
  </si>
  <si>
    <t>শনিবার 'সনাতন ধর্ম' নিয়ে বিতর্কিত মন্তব্যের অভিযোগে উদয়নিধির বিরুদ্ধে পুলিশের দ্বারস্থ হয়েছেন ওই আইনজীবী।</t>
  </si>
  <si>
    <t>আক্রমণকারী বাহিনী দাস পরিবারের ১৯ জন সদস্যকে নির্মম ভাবে হত্যা করে। হত্যার পূর্বে বাড়ির নারীদের ধর্ষণ করা হয়। মুসলিমরা রামগঞ্জ পুলিশ স্টেশনের আওতাধীন নোয়াখোলা গ্রামের চৌধুরী পরিবারের উপর হামলা চালায় বর্বর দাঙ্গাকারীরা।</t>
  </si>
  <si>
    <t>যে কোন বিনিময়ে মসজিদের নির্মাণ কাজ বন্ধ না হয় সে ব্যাপারে মুসলিম সমাজকে সজাগ থাকতে হবে।এমপি মহোদয়কে এ ব্যাপারে কঠোর থেকে আরও কঠোর হয়ে নির্মাণ কাজ শেষ করে একটা মডেল মসজিদ আমাদের উপহার দিবেন ইনশাআল্লাহ।।</t>
  </si>
  <si>
    <t>ভাই, উল্টা পাল্টা নিউজ মিডিয়া র কথা শুনে, সত্য তা যাচাই না করে নাচনাচি বন্ধ করুন। বাংলাদেশ একটি সাম্প্রদায়িক সম্প্রীতির দেশ। আর ডি ইউ ও একই আদর্শে বিশ্বাসী। গুজব রটাবেন না।</t>
  </si>
  <si>
    <t>সব সিম্পেথি অন্য ধর্মাবলম্বীদের জন্য না দেখিয়ে কিছু কিছু অসহায় মুসলমানদেরও দেখান, তাহলে তারা একটু ব্যক্তিস্বাধীনতায় বাঁচতে পারবেন।</t>
  </si>
  <si>
    <t>হিন্দু ধর্মাবলম্বীরা প্রায়ই নিজেদের ধর্মীয় বিশ্বাসকে অন্য ধর্মের উপরে প্রতিষ্ঠিত করতে চাই, যা ধর্মীয় সহনশীলতাকে হুমকির মুখে ফেলে।</t>
  </si>
  <si>
    <t>২০২৩ সালের জুলাই থেকে ২০২৪ সালের জুন পর্যন্ত এক বছরে ১,০৪৫টি সাম্প্রদায়িক সহিংসতা, নির্যাতন ও নিপীড়নের ঘটনা ঘটেছে, যার মধ্যে ৪৫টি হত্যাকাণ্ড।</t>
  </si>
  <si>
    <t>পাখির মতো গুলি করে মুসলমানদের হত্যা করবো</t>
  </si>
  <si>
    <t>ইহুদী ও ইসলাম ধর্মের প্রধান ভিন্নতা সময় ও বিশ্বাসের দৃষ্টিকোণ থেকে; ইহুদীরা বনী ঈসরায়েলের নবী-রাসূলদের মানে, আর মুসলিমরা বনী ঈসরায়েলসহ সকল নবী-রাসূলকে মান্য করে এবং নবী মুহাম্মদ (সা.)-কে সর্বশেষ ও আদর্শ নবী হিসেবে গ্রহণ করে।</t>
  </si>
  <si>
    <t>বাংলাদেশে বাহাই সম্প্রদায়ের কয়েকটি বাড়ি এবং ধর্মীয় উপাসনালয় আক্রমণের শিকার হয়।</t>
  </si>
  <si>
    <t>বাংলাদেশের সমাজে সতীদাহ প্রথার প্রচলন দেরিতে শুরু হয় এবং ৫০০ খ্রিস্টাব্দের পর নিয়মিত হয়।</t>
  </si>
  <si>
    <t>বগুড়া জেলায়, জামাতি ইসলাম ও বিএনপির কর্মীরা নন্দীগ্রাম উপজেলায় হিন্দুদের উপর আক্রমণ করে।</t>
  </si>
  <si>
    <t>ব্রাহ্মণবাড়িয়ায় ধর্মীয় গোষ্ঠী সংখ্যালঘুদের উপর সহিংসতা চালায়; এতে ৩৬ জন প্রাণ হারান।</t>
  </si>
  <si>
    <t>১৯৮৬ সালে আহমেদাবাদে হিন্দু শোভাযাত্রা থেকে শুরু হওয়া সহিংসতায় ২৪ জন নিহত হয়।</t>
  </si>
  <si>
    <t>মুসলিম সম্প্রদায়ের মধ্যে কিছু উগ্রপন্থী ধর্মীয় উগ্রতা ছড়িয়ে দিয়ে সমাজে ধর্মীয় সংঘাত সৃষ্টি করছে এবং সহিংসতা উৎসাহিত করছে।</t>
  </si>
  <si>
    <t>হিন্দু সম্প্রদায়ের অনেকেই অন্য ধর্মাবলম্বীদের প্রতি বিদ্বেষপূর্ণ মনোভাব নিয়ে ধর্মীয় শান্তি নষ্ট করছে।</t>
  </si>
  <si>
    <t>২০১২ সালে, সরকার হিন্দু বিবাহ নিবন্ধন আইন পাস করে, যা হিন্দুদের জন্য তাদের বিবাহ সরকারের কাছে নিবন্ধনের বিকল্প প্রদান করে। এই বিলের লক্ষ্য ছিল হিন্দু নারীদের অধিকার রক্ষা করা, যাদের অধিকার ধর্মীয় বিবাহের অধীনে সুরক্ষিত নয়।</t>
  </si>
  <si>
    <t>খ্রিস্টান মিশনারিরা ধর্মান্তর করার জন্য অর্থ ও প্রভাব ব্যবহার করে এবং স্থানীয় মানুষদের ধর্মীয় বিশ্বাসে বিভ্রান্তি সৃষ্টির চেষ্টা চালায়।</t>
  </si>
  <si>
    <t>কিশোরগঞ্জের এক গ্রামে সংঘর্ষ শুরু হলে পুলিশ শান্তি প্রতিষ্ঠার জন্য ব্যবস্থা নেয়, তবে তা স্থায়ী হয়নি। সংঘর্ষের সময় অন্তত ৫০ জন নিহত হয়, অধিকাংশ সংখ্যালঘু সম্প্রদায়ের সদস্য। অগ্নিসংযোগ ও লুটপাটের ফলে অনেক পরিবার আশ্রয়হীন হয়ে পড়ে এবং আশেপাশের জঙ্গলে আশ্রয় নিতে বাধ্য হয়। পুলিশ নিরাপত্তা দিতে ব্যর্থ হয়।</t>
  </si>
  <si>
    <t>বাংলাদেশে ধর্মীয় দাঙ্গার ইতিহাসে ১৯৮৯ সালের রংপুর জেলার ভাওয়াইবাড়ী হত্যাকাণ্ড অন্যতম বীভৎস ঘটনা হিসেবে বিবেচিত। সেখানে একটি গোষ্ঠী সংঘবদ্ধভাবে হিন্দু সম্প্রদায়ের ঘরবাড়ি জ্বালিয়ে দেয় এবং প্রাণহানি ঘটে।</t>
  </si>
  <si>
    <t>মহিলারা এরাই ধর্ম মানতে চায় না যাকে পায় তাকেই বিয়ে করে, এরা শুধু চেট আর পেট এ দুটা জিনিস বুঝে।</t>
  </si>
  <si>
    <t>কোরআনের সম্মান রক্ষায় মুসলমানেরা সবসময় সর্বোচ্চ ত্যাগ স্বীকার করতে প্রস্তুত,যদিও মহান স্রষ্টা নিজেই ঘোষণা দিয়েছেন- কোরআন সংরক্ষণের দায়িত্ব একমাত্র আমার, একে আমিই হেফাজত করবো।</t>
  </si>
  <si>
    <t>১৯৫০ সাল থেকে শুরু হওয়ার পর ১৯৫৪ সাল থেকে ১৯৮২ সালের মধ্যে সাম্প্রদায়িক সহিংসতার ঘটনাবলীতে হিন্দু-মুসলিম সাম্প্রদায়িক সহিংসতায় প্রায় ১০০০০ মুসলিম নিহত হয়।</t>
  </si>
  <si>
    <t>১৩ আগস্টর দিন স্থানীয় পুলিশ ঈদগাহ ময়দানে চরতে থাকা একটা শুয়োরকে বার করতে অসন্মত হওয়া ও সেটিকে নিয়ে মুসলমানদের একটা দল পুলিশদেরকে পাথরখন্ড ছোঁড়াকে কেন্দ্র করে এই দাঙ্গার সূত্রপাত হয়।</t>
  </si>
  <si>
    <t>জৈন ধর্মে অনুসরণকারীরা বিশ্বস্তভাবে অহিংসা এবং নিজের কর্মের ফলের প্রতি সচেতন, যা তাদের আধ্যাত্মিক উন্নতি ও শান্তি অর্জনে সহায়ক।</t>
  </si>
  <si>
    <t>২০২১ সালের এপ্রিল মাসে এক গোষ্ঠী ধর্মীয় গোষ্ঠীর লোকদের বিরুদ্ধে হামলা চালিয়ে ৩৩ জন নিহত হয়।</t>
  </si>
  <si>
    <t>২৫ ডিসেম্বর রাজশাহীর বাগমারায় কাদিয়ানী উপাসনালয়ে আত্মঘাতী বোমা হামলা হয়, হামলাকারী নিহত হয়েছে।</t>
  </si>
  <si>
    <t>ধর্মীয় বিদ্বেষের কারণে এক স্বাস্থ্যকর্মীকে হত্যা করা হয়, ১৪ জন আহত হয়।</t>
  </si>
  <si>
    <t>বাংলাদেশে এক সময় স্বল্পকাল রাষ্ট্রীয় নাস্তিকতা চালু হয়েছিল, যা পরে বিভিন্ন সরকারি প্রতিষ্ঠানে ও বিপ্লবী এলাকায় কার্যকর হয়। বিশেষ একটি সময়ে ধর্ম দমন ও নাস্তিকতা প্রচার জোরদার ছিল।</t>
  </si>
  <si>
    <t>আলহামদুলিল্লাহ, হুজুরদের নেক হায়াত কামনা করছি আললাহ র নিকট, আমীন, আল্লাহর জন্য আপনাদেরকে ভালোবাসি ইনশাআল্লাহ, আল্লাহ পাক আপনি তো দয়ালু, আপনি হেদায়েত দান করুন, যারা পবিত্র কুরআন মাজীদ বুঝতে চায় না, হে আমাদের রব, আপনি দয়া করুণ, জাহান্নামের আগুন থেকে আমাদেরকে রক্ষা করুন, আমীন আমীন আমীন, আমাদেরকে পূর্ণ ঈমানদার হিসেবে কবুল করুন, আমীন আমীন আমীন।</t>
  </si>
  <si>
    <t>কোরআন মুসলমানদের প্রাণ, যারা এর বিরুদ্ধে অপবাদ দিয়েছে তাদের তীব্র নিন্দা ও প্রতিবাদ জানাই। হে আল্লাহ, মুসলমানদের রক্ষা করুন।</t>
  </si>
  <si>
    <t>২০১৭ সালের জানুয়ারিতে এক গোষ্ঠী ধর্মীয় গোষ্ঠী সংখ্যালঘুদের নাগরিকত্ব বাতিল করে, এতে দারিদ্র্য ও অসুস্থতায় ৫৮ জন মারা যান।</t>
  </si>
  <si>
    <t>যারা আমার প্রিয় নবীকে নিয়ে কটুবাক্য বলেছে তাদের অতিবিলম্বে শাস্তির আওয়াতায় আনা দরকার,,এবং কঠিন শাস্তির ব্যবস্থায় করতে হবে</t>
  </si>
  <si>
    <t>১২ অক্টোবর, চট্টগ্রামের চকবাজার এলাকার করুণাময়ী কালীবাড়ির পূজা মণ্ডপে আরতি চলাকালীন একটি সাম্প্রদায়িক হামলার খবর পাওয়া যায় যেখানে অপরাধীদের মধ্যে একজন ধরা পড়ে এবং তাকে পুলিশের হাতে তুলে দেওয়া হয়।</t>
  </si>
  <si>
    <t>সাম্প্রদায়িক সহিংসতা, বিতর্কিত নাগরিকত্ব আইন ও মুসলিম বিদ্বেষী কর্মকান্ড যেমন এ দেশের সাধারণ মানুষকে সংক্ষুব্ধ ও শঙ্কিত করে তোলে একইভাবে এসব ক্ষেত্রে আমাদের সরকারের নিরবতাও জনগণকে বিক্ষুব্ধ করে।</t>
  </si>
  <si>
    <t>তারা হিন্দুদেরকে নির্দয়ভাবে হত্যা করতে শুরু করে এবং হিন্দু পুরুষ-মহিলাদেরকে জোরপূর্বক ইসলাম ধর্মে ধর্মান্তরিত করে। হিন্দু সম্প্রদায়ের পবিত্র প্রতিমা, ছবি ভেঙ্গে ফেলা হয় এবং হিন্দু মন্দিরগুলো সম্পূর্ণ ধ্বংস করা হয়।</t>
  </si>
  <si>
    <t>এক নারীকে ধর্মীয় কারণে গণধর্ষণ করে হত্যা করা হয়, প্রতিবাদের সময় ১১ জন নিহত হন।</t>
  </si>
  <si>
    <t>হিন্দু ধর্মে সব প্রাণীকে সমান সম্মান দেওয়া হয়, যা প্রাণীকুলের প্রতি ভালোবাসা এবং দয়ার পথকে উদ্ভাসিত করে।</t>
  </si>
  <si>
    <t>ধর্মীয় বিভাজনের নামে একটি এলাকায় সংখ্যালঘুদের বিদ্যুৎ ও পানি সংযোগ বিচ্ছিন্ন করে রাখা হয়, যার ফলে ২৩ জন অসুস্থ হয়ে মারা যান।</t>
  </si>
  <si>
    <t>এক জনসভায় ভিন্ন ধর্মের গান বাজানোয় সংঘর্ষ বাঁধে, যার ফলে অন্তত ৩০ জন নিহত হয় এবং বহু নারী ধর্ষণের শিকার হন।</t>
  </si>
  <si>
    <t>মুসলিমরা পরিবারকে পিটিয়ে ঘর লুট করে, পবিত্র ছবি ও মূর্তি ভেঙে ধর্মান্তরিত করে এবং আজমতপুর, দাসপাড়া, নাসিয়াঞ্জি ও মহেশপুরে হামলা চালায়।</t>
  </si>
  <si>
    <t>সপ্তদশ শতাব্দীর এক ভ্রমণকারী বর্ণনা করেছেন, নারীদের মৃত স্বামীর সঙ্গে করমণ্ডল উপকূলে সমাহিত করা হতো, শ্মশান অনুষ্ঠানে নৃত্য চলত।</t>
  </si>
  <si>
    <t>মুসলিমরা হিন্দু ধর্মীয় সংখ্যালঘু সম্প্রদায়ের নাগরিককে নির্মমভাবে হত্যা করে ফেলবে</t>
  </si>
  <si>
    <t>আল্লাহ, আপনি তো সব জুলুম দেখছেন, আপনি ছাড়া আপনার দয়া ছাড়া উপায় নেই, আপনি পারেন এই জুলুমকারী সবাইকে শেষ করতে।</t>
  </si>
  <si>
    <t>খাগড়াছড়িতে বৌদ্ধ বিহারে তল্লাসী ও ভিক্ষুকে লাঞ্চিত করায় নিন্দা প্রকাশ</t>
  </si>
  <si>
    <t>পটুয়াখালীতে একটি মনসা মন্দিরের মূল গেট ভেঙে ভেতরের প্রতিমাগুলোর মুখমণ্ডলে আঘাত করে বিকৃত করে তোলা হয়।</t>
  </si>
  <si>
    <t>শোনা যায় কলকাতার মহা নিধন দাঙ্গায় মুজিব নিজ হাতে ছোরা নিয়ে রাস্তায় নেমেছিলেন। কাজেই গুরু যে দাঙ্গা আরম্ভ করেছিলেন তাতে শিষ্য যোগ দিবে তাতে আর আশ্চর্য কি? তবে দাঙ্গায় হিন্দু খুন করার শিক্ষা মুজিব তাঁর গ্রাম থেকেই পেয়েছিলেন।</t>
  </si>
  <si>
    <t>ধর্মীয় পরিচয়ের কারণে নিরপরাধ মানুষ হত্যার শিকার হয়েছে, যা নৈতিক অবক্ষয় নির্দেশ করে।</t>
  </si>
  <si>
    <t>আমি প্রায়ই এই জান্নাতীদের বর্ণনা শুনি, আর অভিভূত হই! মহান আল্লাহ আমাদের জন্যই রেক করেছেন! আহমাদকে সঠিকভাবে জীবন কাটানোর তাওফিক দান করুন! আমীন।</t>
  </si>
  <si>
    <t>আমি ঐ অমানবিক শাসকদের উপর আল্লাহর সিদ্ধান্তের সাক্ষী হতে চাই।</t>
  </si>
  <si>
    <t>কোনো সংখ্যালঘু সম্প্রদায় কিংবা ইসলামের কোনো বিচ্যুত অথবা বের হয়ে যাওয়া উপদলের ধর্মীয় কেন্দ্র অথবা উপাসনালয়ে হামলা করা কোনোভাবেই শরীয়তসিদ্ধ কাজ নয়।</t>
  </si>
  <si>
    <t>মনে করি মুসলমানদের এক হয়ে ধর্মীয় কিতাব রক্ষা করতে হবে এবং ধর্মের প্রতি আঘাতকারীদের সঠিক জবাব দিতে হবে।</t>
  </si>
  <si>
    <t>বরিশালে ধর্মীয় দাঙ্গায় ৪৩ জন প্রাণ হারায়। পুলিশ সহিংসতা দমনে ব্যর্থ হয়, সরকার শান্তি ও ধর্মীয় দায়িত্ববোধ বজায় রাখার নির্দেশ দেয়। বহু পরিবার নিরাপত্তার কারণে গ্রাম ত্যাগ করে।</t>
  </si>
  <si>
    <t>ইসলামে বহু আগেই বৈজ্ঞানিকভাবে প্রমাণিত উপকারী ও ক্ষতিকর খাবারের নির্দেশনা দেওয়া হয়েছে।</t>
  </si>
  <si>
    <t>যারা তরুণ প্রজন্মকে টার্গেট করে ধর্মের অপব্যাখ্যা প্রচার করছেন ও ব্রেইন ওয়াশ করছেন। ধর্ম আজ তাদের কাছে ব্যাবসা।</t>
  </si>
  <si>
    <t>টেলিভিশন,মূল্যবান জিনিসপত্র,টাকাপয়সা লুট করা হয়। অর্ধশতাধিক নারী-পুরুষকে এই হামলায় আহত হয়। রসরাজের বাড়িতে ভাংচুর করা হয় । মহাকাল পাড়ার গৌর মন্দিরের সেবায়েত শংকর সেন গুরুতর আহত হন । গৌর মন্দিরের পুরোহিত নরেন্দ্র প্রভুকে মারধর করা হয়।</t>
  </si>
  <si>
    <t>ঈশ্বর দাস লেনের নামকরা হিন্দু ছাত্রাবাস ‘বাণী ভবন’ লুটপাটের পর সম্পূর্ণরূপে ধ্বংস করে ফেলা হয়।আবাসিক ছাত্ররা নিকটস্থ আশ্রয়কেন্দ্রে পালিয়ে জীবন রক্ষা করে।</t>
  </si>
  <si>
    <t>জাতীয় মিডিয়ার সামনে মৃতদেহগুলোকে গণনা এবং শনাক্ত করা হয় অতঃপর আবার তাদের আদিত্যপুরে নিয়ে আসা হয়। আদিত্যপুর সরকারি প্রাথমিক স্কুলের সামনে কবর দেওয়া হয়।</t>
  </si>
  <si>
    <t>২০১৯ সালের জানুয়ারিতে এক ধর্মীয় গোষ্ঠী সংখ্যালঘুদের ওপর কর চাপিয়ে দেয় এবং দিতে না পারার অপরাধে তাদের বাড়ি ঘর আগুনে পুড়িয়ে দেয়, এতে অন্তত ২৬ জন নিহত হয়।</t>
  </si>
  <si>
    <t>কুষ্টিয়ায় এক নব নির্মিত মসজিদের দেয়ালে গাঁজা ও অশ্লীল ছবি আঁকা হয়, যা স্থানীয় মুসল্লিদের মধ্যে উত্তেজনা সৃষ্টি করে।</t>
  </si>
  <si>
    <t>২০১৮ সালে কিছু অঞ্চলে বৌদ্ধ চরমপন্থী গোষ্ঠীগুলো মুসলিম ব্যবসা প্রতিষ্ঠান, মসজিদ ও ঘরবাড়িতে হামলা চালিয়ে ধ্বংস করে।</t>
  </si>
  <si>
    <t>মেহেরপুরে ধর্মীয় গোষ্ঠীর মধ্যে সংঘর্ষে ২৭ জন নিহত হন; ব্যাপক ক্ষতি হয়।</t>
  </si>
  <si>
    <t>ইসলামি ঐতিহ্য অনুসারে, ইব্রাহিমকে আল্লাহ তার (ইব্রাহিম) স্ত্রী হাজেরা এবং তার শিশুপুত্র ইসমাইলকে প্রাচীন মক্কার মরুভূমিতে একা রেখে যাওয়ার নির্দেশ দিয়েছিলেন।</t>
  </si>
  <si>
    <t>পৃথিবীর প্রধান ধর্মগ্রন্হ সমূহে একত্ববাদি সৃষ্টিকর্তার কথা বলা হয়েছে।এবং এ ও বলা আছে শেষ নবী হিসাবে হযরত মুহাম্মাদ (স)এর আগমন হবে।</t>
  </si>
  <si>
    <t>ফেসবুকে ধর্ম অবমাননার অভিযোগে এবার রংপুরের হিন্দু গ্রামে হামলা, নিহত ১</t>
  </si>
  <si>
    <t>এমনকি যে মানুষটা খারাপ তার ধর্ম নিয়েও খোঁচা মারার অধিকার আপনার নাই।</t>
  </si>
  <si>
    <t>১৯৬৪ সালে ঝালকাঠিতে হিন্দু ও মুসলমানদের মধ্যে দাঙ্গায় শতাধিক মানুষ মারা গিয়েছিল, ৪৩৮ জন আহত হয়েছিল।</t>
  </si>
  <si>
    <t>নীলফামারীতে রাসমেলা উপলক্ষে তৈরি মূর্তিগুলোর ওপর গ্যাসোলিন ঢেলে আগুন লাগিয়ে দেয়া হয়।</t>
  </si>
  <si>
    <t>২০০৮ সালের ২৩ আগস্ট, অজ্ঞাত জঙ্গিরা আশ্রমে ঢুকে ৮৪ বছর বয়সী লক্ষ্মণানন্দ সরস্বতীকে নির্মমভাবে হত্যা ও গায়ে ছুরিকাঘাত করে।</t>
  </si>
  <si>
    <t>২০২২ সালের ২৪ জানুয়ারি সোমবার রাতে, সাতক্ষীরা সদর উপজেলার আগরদাঁড়ি গ্রামের পেশাদার প্রতিমাশিল্পী রঞ্জন কুমার পালের বাড়ির কারখানায় প্রতিমা ভাঙচুরের ঘটনা ঘটে।</t>
  </si>
  <si>
    <t>বড়লোকেরা যা পারেনি, ভিনধর্মী হয়ে আপনি সেটা করে দেখালেন। সত্যি বলতে কি, ডক্টর যশোদা জীবন দেবনাথ দাদা একজন অসাধারণ মানবিক মানুষ। তিনি ধর্ম-বর্ণ মানেন না, দাদার কাছে সকল ধর্মের মানুষ সমান।</t>
  </si>
  <si>
    <t>যারা কোরআন অবমাননা করে, তারা ইসলামের শত্রু, এদের পৃথিবীতে ঠাঁই নেই, জাহান্নামই তাদের ঠিকানা।</t>
  </si>
  <si>
    <t>সুইজারল্যান্ডে একদল উগ্রপন্থী মুসলিমদের একটি মসজিদে হামলা চালিয়ে জানালা-দরজা ভেঙে দেয় এবং ধর্মীয় গ্রন্থ অবমাননা করে।</t>
  </si>
  <si>
    <t>বাংলাদেশ একটি ধর্মনিরপেক্ষ মুসলিম-সংখ্যাগরিষ্ঠ দেশ, যেখানে ধর্মান্তর সংবিধানের ৪১ অনুচ্ছেদ অনুযায়ী সীমিতভাবে বৈধ।</t>
  </si>
  <si>
    <t>গোপালগঞ্জে ধর্মীয় সংঘর্ষে ৪৫ জন প্রাণ হারায়। পুলিশ গুলিবর্ষণ করে শান্তি ফেরানোর চেষ্টা করলেও সহিংসতা থামেনি। বহু পরিবার নিরাপত্তার অভাবে গ্রাম ত্যাগ করে।</t>
  </si>
  <si>
    <t>২০২০ সালের জুন মাসে এক গোষ্ঠী সংখ্যালঘুদের শিক্ষাপ্রতিষ্ঠানে ভর্তি হতে বাধা দেয়; ফলে ২৫ জন আত্মহত্যা করে।</t>
  </si>
  <si>
    <t>ফেনীতে ধর্মীয় সহিংসতায় সংখ্যালঘু সম্প্রদায়ের ওপর হামলায় অন্তত ৪০ জন নিহত হন। স্থানীয় প্রশাসন যথাযথ ব্যবস্থা নিতে ব্যর্থ হয়।</t>
  </si>
  <si>
    <t>বাঙালি খ্রিস্টানরা দক্ষিণ এশিয়ার একটি স্বীকৃত সংখ্যালঘু সম্প্রদায়, যাদের উচ্চ সাক্ষরতার হার, কম লিঙ্গ অনুপাত এবং ভালো সামাজিক-অর্থনৈতিক অবস্থান রয়েছে।</t>
  </si>
  <si>
    <t>তীব্র নিন্দা জানাই , বাংলাদেশ থেকে সরকারি ভাবে তীব্র নিন্দা জানানোর জন্য অনুরোধ করছি এমন ঘটনার জন্য দায়ী দের ফাঁসি কার্যকর করা হোক</t>
  </si>
  <si>
    <t>আমরা যদি একে অপরকে ধর্মীয় দৃষ্টিকোণ থেকে বোঝার চেষ্টা করি, তাহলে ভুল বোঝাবুঝি অনেক কমে যাবে।</t>
  </si>
  <si>
    <t>ধর্ম চর্চায় কারও অন্ধ অনুসরণ না করে নিজে ধর্মগ্রন্থগুলো মনোযোগ দিয়ে পড়া উচিত। বুঝে বিচার করে চললে ধর্মের প্রকৃত সৌন্দর্য এবং শান্তি অন্তর থেকে উপলব্ধি করা যায়।</t>
  </si>
  <si>
    <t>এক ধর্মীয় বই বিতরণের জন্য এক যুবককে পিটিয়ে হত্যা করা হয়, তার পরিবারকে গ্রাম ছাড়তে বাধ্য করা হয়; সহিংসতায় ১৮ জন প্রাণ হারান।</t>
  </si>
  <si>
    <t>রাজশাহীতে দীর্ঘদিন ধরে চলমান সাম্প্রদায়িক বৈরিতার জের ধরে হিন্দু ও মুসলিম সম্প্রদায়ের মধ্যে সংঘর্ষ শুরু হয়। সংঘর্ষে অন্তত ৪৩ জন নিহত হন, যাদের মধ্যে অনেক নারী ও বৃদ্ধও আছেন। দাঙ্গায় বহু মন্দির ও মসজিদ ধ্বংসপ্রাপ্ত হয় এবং সম্পত্তির ব্যাপক ক্ষয়ক্ষতি হয়। পরিস্থিতি নিয়ন্ত্রণে সামরিক বাহিনী মোতায়েন করতে হয়।</t>
  </si>
  <si>
    <t>মারকুল নামের একটা গ্রাম পুরোপুরি লুট করা হয় এবং গ্রামের সকল অধিবাসীদেরকে মুসলমান বানিয়ে দেয়া হয়। ১৯শে ফেব্রুয়ারি জকিগঞ্জ পুলিশ স্টেশনের আওতাধীন সদরপুর গ্রামে আক্রমণ করে মুসলিমরা।</t>
  </si>
  <si>
    <t>মৌলভীবাজার জেলার কমলগঞ্জ উপজেলার বিভিন্ন স্থান থেকে কুমিল্লায় পূজামণ্ডপে কুরআনের অবমাননার অভিযোগ তুলে ১৩ই অক্টোবর বুধবার সন্ধ্যার পর থেকে উপজেলার বিভিন্ন স্থানে বিক্ষোভ মিছিল বের হয়। ১৩ই অক্টোবর বুধবার রাত সাড়ে ৮টা থেকে রাত ১০টার মধ্যে দুটি প্রতিমা ও পাঁচটি মণ্ডপে ভাঙচুর করা হয়।</t>
  </si>
  <si>
    <t>জামাতি ইসলাম ও ইসলামী ছাত্র শিবির অস্ত্রসহ হিন্দুদের ওপর সশস্ত্র হামলা চালিয়ে মূর্তি ভাঙচুর ও গাছপালা পুড়িয়ে ফেলে, অন্তত ২০ জন আহত ও শতাধিক নদী পাড় হয়ে আশ্রয় নেয়।</t>
  </si>
  <si>
    <t>বাংলাদেশের সংসদের উচ্চকক্ষে ও রাজ্যসভায়, প্রধান বিরোধী দল জাতীয় পার্টি জামায়াতে ইসলামীর “হিন্দুদের উপর অত্যাচার” নিন্দা জানিয়েছে।</t>
  </si>
  <si>
    <t>হিন্দু ধর্মে পৃথিবী এবং জীবজগতের প্রতি সুসম আচরণ এবং সৌম্য মনোভাব গুরুত্ব পায়।</t>
  </si>
  <si>
    <t>রেনুকা বালার হত্যাকারী শনাক্ত করতে পারেনি পুলিশ : এলাকার হিন্দুরা আতঙ্কে</t>
  </si>
  <si>
    <t>মুসলমানরা বিশ্বাস করে যে আল-ইঞ্জিলকে বিকৃত করা হয়েছিল বা খ্রিষ্টান নতুন নিয়ম গঠনের জন্য পরিবর্তন করা হয়েছিল।</t>
  </si>
  <si>
    <t>ফেনী পৌরসভার ১৭ নম্বর ওয়ার্ডের মধ্যম রামপুর গ্রামের বাসিন্দা লাবিবকে তার বাড়ি থেকে গ্রেপ্তার করা হয়েছে। জিজ্ঞাসাবাদে লাবিব র‌্যাবকে জানায়, গত শনিবার সন্ধায় সে ফেনীর বড় মসজিদে মাগরিবের নামাজ পড়ে তার দুই বন্ধু মুন্না ও সফীকে সঙ্গে নিয়ে এক বোতল পেট্রোলসহ কালী মন্দিরে যায়। সেখানে মন্দিরের পুরোহিতকে ব্যাপক মারধর ও মন্দিরে আগুন লাগিয়ে দেওয়ার ভয় দেখিয়ে, বলে লুঙ্গি পর, না হয় ধুতিকে লুঙ্গির মতো করে ঝুলিয়ে পর। এরপর তাকে 'লা হাওলা ওয়ালা কুওয়াতা ইল্লা বিল্লাহিল আলিউল আজিম এবং লা ইলাহা ইল্লাল্লাহু মুহাম্মাদুর রাসুলুল্লাহ' পড়তে বলে।</t>
  </si>
  <si>
    <t>মুসলিম জনতা কার্ফু ভেঙে ছুরি রাম দা ও বোমা নিয়ে বাংলাদেশে হিন্দু মন্দিরে হামলা চালিয়ে তা অপবিত্র করে এবং ভাঙচুর ও সন্ত্রাস চালায়।</t>
  </si>
  <si>
    <t>গুরুদাসপুরের আনসার সদস্যকে মারধর করে দুর্গাসহ ছয়টি প্রতিমা ভাংচুরে অভিযুক্ত বিকাশ চন্দ্র কর্মকারকে শনিবার নাটোর শহর থেকে আটক করেছে পুলিশ। ঘটনার সময় পাহারারত আনসার সদস্যের আদালতে দেওয়া স্বীকারোক্তির পর তাকে আটক করা হয়।</t>
  </si>
  <si>
    <t>১৮৬৯ সালের নির্বাচনের পর নির্বাসিত দলের উত্থানে ক্ষিপ্ত হয়ে সেনাবাহিনী হিন্দুদের ওপর নৃশংস হামলা চালায়। বহু হিন্দুদের গণহত্যা করা হয়</t>
  </si>
  <si>
    <t>ধর্মান্তর কর্মসূচির নামে খ্রিস্টান মিশনারিরা সমাজের অসচেতন মানুষদের মাঝে বিভ্রান্তি সৃষ্টি করে এবং দেশীয় ঐতিহ্যকে নষ্ট করে।</t>
  </si>
  <si>
    <t>বাংলাদেশে কিছু সময় ধর্ম নিষিদ্ধ ছিল এবং ধর্মীয় অনুসারীদের ওপর ব্যাপক নির্যাতন হয়েছিল।</t>
  </si>
  <si>
    <t>কুমিল্লায় দুই ভায়রাভাইয়ের দ্বন্দ্বে প্রতিপক্ষকে ফাঁসাতে দূর্গার প্রতিমা ভাংচুর</t>
  </si>
  <si>
    <t>হিন্দু ধর্মে ধর্মীয় পথচলার মাধ্যমে মানবতার কল্যাণ এবং বিশ্ব শান্তির জন্য প্রতিটি মানুষকে কাজে লাগানো উচিত।</t>
  </si>
  <si>
    <t>গত ১২ ডিসেম্বর বন্দুকযুদ্ধে ২ পুলিশ কর্মকর্তার নিহতের ঘটনাকে 'ধর্মীয় উগ্রবাদী সন্ত্রাসী হামলা' হিসেবে ঘোষণা দেওয়া হয়েছে।</t>
  </si>
  <si>
    <t>এই বয়সে এদের ধর্মান্তরিত হওয়া,সাধু হওয়া,গৃহত্যাগী হওয়ার বেরাম দেখা দেয়। কঠিন মাইরের উপর রাখলে দেখবেন সাধুগীরি ছুটে যাবে।</t>
  </si>
  <si>
    <t>চাঁপাইনবাবগঞ্জে হিন্দু-মুসলিম সংঘর্ষে অন্তত ২৭ জন নিহত হন। পুলিশের গুলিতে বহু মানুষ আহত হয়।</t>
  </si>
  <si>
    <t>ধর্মীয় পরিচয়ের কারণে সংখ্যালঘু মুসলিমদের উপর চলছে অমানবিক নির্যাতন। বন্দিশিবিরে মানসিক নিপীড়নে আত্মহত্যা করছে অনেকে, আর গোপনে চালানো হচ্ছে নির্বিচার হত্যা। মানবিকতার সব সীমা অতিক্রম করেছে এই নিপীড়ন।</t>
  </si>
  <si>
    <t>ধর্মীয় গোষ্ঠী স্কুলছাত্রীদের উপর হামলা চালিয়ে ১৩ জন নিহত করে।</t>
  </si>
  <si>
    <t>২০১৯ সালের এপ্রিল মাসে এক খ্রিস্টান গির্জায় আত্মঘাতী বোমা হামলা, প্রার্থনাকালে অন্তত ৪২ জন নিহত হন।</t>
  </si>
  <si>
    <t>বাংলাদেশ হলো কয়েকটি মুসলিম সংখ্যাগরিষ্ঠ দেশের মধ্যে অন্যতম এবং এক ধর্ম থেকে অন্য ধর্ম গ্রহণ করা আইন দ্বারা বৈধ করা হয়।</t>
  </si>
  <si>
    <t>আমাদের ধর্ম নিয়ে প্রশ্ন করলেই শুরু হয় গালি আর দাঙ্গা, ফেসবুক এখন কাফেরদের বিরুদ্ধে জেহাদের ময়দান।</t>
  </si>
  <si>
    <t>হিন্দু ও মুসলমানদের মধ্যে দাঙ্গায় শতাধিক মানুষ মারা গিয়েছিল, ৪৩৮ জন আহত হয়েছিল।</t>
  </si>
  <si>
    <t>খ্রিস্টান সম্প্রদায়ের একাংশ তাদের ধর্মকে অপর ধর্মের তুলনায় শ্রেষ্ঠ মনে করে এবং অন্যদের ধর্মের প্রতি অবজ্ঞাসূচক মন্তব্য করে।</t>
  </si>
  <si>
    <t>খ্রিস্টান মিশনারিরা ধর্মান্তরের নামে ধর্মীয় দাঙ্গা-বিদ্বেষ ছড়িয়ে সমাজে বিভাজনের সৃষ্টি করছে।</t>
  </si>
  <si>
    <t>বর্তমানে কিছু মানুষ ইসলাম ধর্মকে ছোট করে কটুক্তি করে এবং তা থেকে দুঃখজনক আনন্দ পান।</t>
  </si>
  <si>
    <t>যেসব দেশ ধর্মের ধারধারেনি তারা অনেক ভালো আছে। তারাই আজ বিশ্বে উন্নত জাতি। সহজ সরল সত্য কথা হলো ধর্মহীনরাই মানবিক ও হৃদয়বান হয়।</t>
  </si>
  <si>
    <t>আজ মুসলিম বিশ্বের বড় নেতাদের ধিক্কার জানাই</t>
  </si>
  <si>
    <t>মুসলিম সম্প্রদায় যদি এখনও নির্যাতন চুপচাপ সহ্য করে, তাহলে ভবিষ্যতে আরও কঠিন ধর্মীয় বৈষম্যের সম্মুখীন হতে পারে, যখন প্রতিবাদ করাও কঠিন হবে।</t>
  </si>
  <si>
    <t>উত্তরবঙ্গের মিরপুরে গরু পাচারের সন্দেহে এক মুসলিম ব্যক্তিকে ধর্মীয় উত্তেজনার মধ্যে পিটিয়ে হত্যা করা হয়।</t>
  </si>
  <si>
    <t>ইসলামবিদ্বেষী কাফেররা রাসূলের হাদিসকে বিকৃত করে শর্টফিল্ম বানিয়ে মুসলমানদের অপমান করছে।</t>
  </si>
  <si>
    <t>আল্লাহ আমি যেন জান্নাতে যেতে পারি,সেখানে আমি চাই সুন্দর একটি বাড়ি।সামনে থাকবে মাছ ভরা পুকুর, তোমার কাছে করব হাজার হাজার শুকুর।</t>
  </si>
  <si>
    <t>ময়মনসিংহের এক গ্রামে ধর্মীয় দাঙ্গা শুরু হলে পুলিশ দ্রুত ঘটনাস্থলে পৌঁছায়, তবে জনতা তাদের ওপর হামলা চালিয়ে পরিস্থিতি আরও উত্তপ্ত করে তোলে। সংঘর্ষে অন্তত ৪৯ জন নিহত হয়। আতঙ্কে বহু পরিবার গ্রাম ছেড়ে আশ্রয় নিতে বাধ্য হয়। পুলিশ পরিস্থিতি নিয়ন্ত্রণে রাখতে চেষ্টাকরলেও সহিংসতা দ্রুত ছড়িয়ে পড়ে।</t>
  </si>
  <si>
    <t>দুর্ঘটনাজনিত মৃত্যু বেদনাদায়ক হলেও, নবীজি সাল্লাল্লাহু আলাইহি ওয়াসাল্লাম তা শহিদের মৃত্যু হিসেবে সুসংবাদ দিয়েছেন; ইসলামে শাহাদাতের মৃত্যু সর্বোচ্চ মর্যাদার।</t>
  </si>
  <si>
    <t>মাদারীপুরে ধর্মীয় সহিংসতায় সংখ্যালঘু সম্প্রদায়ের ওপর হামলায় অন্তত ৩৫ জন নিহত হন।</t>
  </si>
  <si>
    <t>তোমাদের মতো ভন্ড মুসলিমরা কোরআনের অপব্যাখ্যা দিয়ে ইসলামকে কলঙ্কিত করে, হিন্দুদের বিরুদ্ধে ঘৃণা ছড়ায়।</t>
  </si>
  <si>
    <t>মুসলমানদের নিপীড়ন হল ধর্মীয় নিপীড়ন যা ইসলাম ধর্মের অনুসারীদের উপর করা হয়। মক্কায় ইসলামের প্রাথমিক দিনগুলিতে , নতুন মুসলমানরা প্রায়শই পৌত্তলিক মক্কানদের (প্রায়শই মুশরিকিন: অবিশ্বাসী বা মুশরিক বলা হয় ) দ্বারা নির্যাতন ও নিপীড়নের শিকার হয়েছিল।</t>
  </si>
  <si>
    <t>কুরআনে আল্লাহ বলেছেন যে, সকল মানুষ আল্লাহর সৃষ্টি, এবং আমাদের উচিত তাদের প্রতি সদয় আচরণ এবং সহানুভূতি প্রদর্শন করা, ন্যায়পরায়ণতা অনুযায়ী।</t>
  </si>
  <si>
    <t>২০২০ সালের ফেব্রুয়ারিতে এক গোষ্ঠী ধর্মীয় বিদ্বেষের কারণে এক শিল্পীর প্রদর্শনীতে হামলা চালায়; এতে ১৪ জন নিহত হয়।</t>
  </si>
  <si>
    <t>কিশোরগঞ্জে একটি পূজামণ্ডপের প্রতিমার মাথা কেটে পুকুরে ফেলে দেয় দুর্বৃত্তরা, পুজা বন্ধ রাখতে বাধ্য হয় মণ্ডপ কমিটি।</t>
  </si>
  <si>
    <t>শিবাজীর নিঃসন্তান বিধবা স্ত্রী পুতলাবাই স্বামীর মৃত্যুর পর সতীদাহ করেন। ভোসলে পরিবারে জোরপূর্বক বা স্বেচ্ছায় সতীদাহের বেশ কিছু ঘটনা ঘটে।</t>
  </si>
  <si>
    <t>বৌদ্ধ সম্প্রদায়ের কিছু সদস্য অন্য ধর্মের প্রতি বিদ্বেষমূলক মনোভাব দেখায় যা সমাজে বিভাজন সৃষ্টি করে এবং অশান্তি বাড়ায়।</t>
  </si>
  <si>
    <t>বরগুনায় একটি গির্জার ক্রস চিহ্ন ভাঙচুর করে “এই দেশ খ্রিস্টানদের না” লেখা দেয়ালচিত্র রেখে যায় অজ্ঞাত দুর্বৃত্ত।</t>
  </si>
  <si>
    <t>নীলফামারীতে ধর্মীয় উত্তেজনার কারণে সংঘর্ষে ৪০ জন নিহত হন। পুলিশ সহিংসতা দমনে ব্যর্থ হয়, সরকার শান্ত থাকার আহ্বান জানায়। অনেক সংখ্যালঘু পরিবার নিরাপত্তার জন্য গ্রাম ত্যাগ করে।</t>
  </si>
  <si>
    <t>৫ মার্চ জামায়াতে-শিবির ও বিএনপি কর্মীরা খুলনায় আটটি হিন্দু বাড়ি পুড়িয়ে দেয়। ১২ মার্চ মধ্যরাতের দিকে দুর্বৃত্তরা ঝিনাইদহ জেলার কালীগঞ্জ উপজেলার অঙ্গিতা শ্মশান মন্দিরে শিবের ২৩ টি প্রতিমা ভাঙচুর করে।</t>
  </si>
  <si>
    <t>৮ থেকে ১০ হাজার উগ্রপন্থী ধর্মান্ধ সমবেত হয়ে রংপুর-দিনাজপুর মহাসড়ক অবরোধ করে বিক্ষোভ চালায়, যা সন্ধ্যা পর্যন্ত অব্যাহত থাকে এবং যাত্রী ও যানবাহন চলাচল ব্যাহত করে।</t>
  </si>
  <si>
    <t>আল্লাহ প্রাণীদের প্রতি দয়া প্রদর্শনের নির্দেশ দিয়েছেন, কারণ তারা মানবজাতির জন্য উপকার বয়ে আনে এবং সৃষ্টির ভারসাম্য রক্ষা করে।</t>
  </si>
  <si>
    <t>১৯৪৬ খ্রিস্টাব্দের অক্টোবরে নোয়াখালী ও টিপ্পেরা জেলায় ঘটা গণহত্যা গ্রেট ক্যালকাটা কিলিংসের একটি কলঙ্কিত পরবর্তী ঘটনা হিসেবে মনে করা হয়।</t>
  </si>
  <si>
    <t>হে আল্লাহ আপনি আপনার পবিত্র কোরআনকে রক্ষা করেন এবং এই নাস্তিকদের ওপরে গজব নাজিল করেন।</t>
  </si>
  <si>
    <t>ফেসবুকসহ সামাজিক যোগাযোগমাধ্যমে ভুয়া খবর ছড়িয়ে অনেক দেশে সাম্প্রদায়িক সহিংসতা ও হত্যার ঘটনা ঘটেছে।</t>
  </si>
  <si>
    <t>রমনা মন্দির ধ্বংসের তিন দিন পর পোড়া ও পচনশীল প্রায় ১৪টি মৃতদেহ এবং ধ্বংসপ্রাপ্ত মন্দির ও আশ্রমের ভিতরে আরও ১০টি মৃতদেহ পাওয়া যায়।</t>
  </si>
  <si>
    <t>অনেক সেকুলার মুসলমানদের মতো হলেও তারা ইসলামের শত্রু; বর্তমান যুগে ইসলামের সবচেয়ে বড় শত্রু সেকুলারিজম।</t>
  </si>
  <si>
    <t>আল্লাহ তাআলার কিতাবের একটি হরফ যে ব্যক্তি পাঠ করবে তার জন্য এর সওয়াব আছে। আর সওয়াব হয় তার দশ গুণ হিসেবে। আমি বলি না যে, আলিফ-লাম-মীম একটি হরফ, বরং আলিফ একটি হরফ, লাম একটি হরফ এবং মীম একটি হরফ।’</t>
  </si>
  <si>
    <t>সুনামগঞ্জে ধর্মীয় বিদ্বেষের কারণে সংঘর্ষে ৪৩ জন প্রাণ হারায়। পুলিশ সহিংসতা রোধে ব্যর্থ হয়, সরকার শান্ত থাকার আহ্বান জানায়। অনেক পরিবার নিরাপত্তার কারণে আশ্রয়হীন হয়।</t>
  </si>
  <si>
    <t>মুসলিমরা চট্টগ্রাম মেডিক্যাল কলেজেও অগ্নিসংযোগ করে। ৫০ টি জেলে পরিবারের খড়ের ঘরে আগুন লাগিয়ে ভস্মীভূত করে দেয়। একটি হিন্দু মালিকানাধীন গ্যারেজে আক্রমণ করে পাঁচটি গাড়ি লুট করে নিয়ে যায়।</t>
  </si>
  <si>
    <t>দিনাজপুরে মসজিদের নির্মাণ কাজ বন্ধ থাকায় প্রায় ৪০০ মুসল্লীর নামাজে বিঘ্ন সৃষ্টি, এতে গ্রামবাসীর মধ্যে ক্ষোভ বিরাজ করছে।</t>
  </si>
  <si>
    <t>অন্ধ বিশ্বাস ও উগ্র চিন্তাধারা মানুষকে সহিংস করেছে, যার ফলে ধর্মীয় বিদ্বেষ থেকে অসংখ্য মানুষ প্রাণ হারিয়েছে।</t>
  </si>
  <si>
    <t>একটি পূজামণ্ডপে প্রতিমার উপর কুরআন রাখা দেখে উত্তেজনা ছড়িয়ে পড়ে। ফেসবুক লাইভের পর হামলা হয়, প্রতিমা ভাঙচুর করা হয়—ধর্মীয় অনুভূতিতে আঘাত করে সহিংসতা ছড়ায়।</t>
  </si>
  <si>
    <t>খ্রিস্টান মিশনারিরা ধর্মান্তরের নামে সমাজে বিভক্তি সৃষ্টি করে এবং দেশের ঐক্য নষ্ট করে।</t>
  </si>
  <si>
    <t>আল্লাহ আপনাকে দীর্ঘ হায়াত দান করুন। যাতে সামনে আমরা আরো এমন লেকচার পেতে পারি। আল্লাহ আপনাকে সাদাকায়ে জারিয়ার সওয়ব দান করুন</t>
  </si>
  <si>
    <t>আমরা ধরে নেব প্রতিমা ভাঙচুরের ঘটনার সঙ্গে সরকারি দল জড়িত। এ ঘটনা রাজনৈতিক অপকৌশল মাত্র। শুধু তাই নয়, এই সরকারের আমলে দেশে যতগুলো ঘটনা ঘটেছে সেগুলোর কোনোটির বিচার হয়নি। যারা মামলা করেছে তারা কারাগারে, আর যারা মন্দির ভেঙেছে তারা বাইরে।'</t>
  </si>
  <si>
    <t>রাজশাহীতে মণ্ডপের প্রতিমার সামনের ঢোল, ঘণ্টা ও অন্যান্য বাদ্যযন্ত্র ভেঙে রেখে যায় দুর্বৃত্তরা।</t>
  </si>
  <si>
    <t>শবে বরাত দক্ষিণ-পূর্ব এশিয়ার একটি প্রধান উৎসব হিসেবে বিবেচিত হয়, যেখানে মুসলমানরা সম্মিলিতভাবে ইবাদত করে এবং তাদের অন্যায়ের জন্য ক্ষমা প্রার্থনা করে।</t>
  </si>
  <si>
    <t>কঠোর নিন্দা জানাই যারা পবিত্র কুরআনকে অবমাননা করেছে। ও কঠিন শাস্তি দাবী করছি।</t>
  </si>
  <si>
    <t>হে আল্লাহ, আপনি আপনার কোরআন শরিফকে নিজ হাতে রক্ষা করুন, আমিন। আর যে কোরআন শরিফ পুড়িয়েছে, তাকে আপনি নিজেই শাস্তি দেবেন, যাতে দুনিয়ার সব মানুষ বুঝতে পারে।</t>
  </si>
  <si>
    <t>বাংলাদেশের হিন্দু সম্প্রদায়ের শান্তিকামী জনগোষ্ঠীর উচিত পশ্চিম বাংলায় মমতার বিজয় এবং উগ্রবাদী মুসলিম বিদ্বেষী দাঙ্গাবাজ বিজেপির পরাজয়ে যারা এদেশে হা হুতাশ করেছেন, ওপার বাংলায় মুসলিম কোপানি হাতছাড়া হয়ে গেল বলে আফসোস করেছেন তাদের উপর কড়া নজর রাখা, আর বাংলাদেশের শান্তিকামী মুসলমানদের উচিত ধর্মনিরপেক্ষতার লেবাস নিয়ে থাকা ক্ষমতাসীন এবং তাদের এজেন্সী গুলোর উপর কড়া নজর রাখা । জগতের সকল প্রাণী সুখী হোক ।।</t>
  </si>
  <si>
    <t>এদের চিনে রাখুন; মানুষরূপী হিংস্র পশু তারা। তথাকথিত শান্তির সাম্রাজ্য থেকে মানুষের পলায়ন তাদের চোখে পড়ে না। আসল শান্তি হবে আল্লাহর পথে, না বন্দুক হাতে শাসন দিয়ে।</t>
  </si>
  <si>
    <t>ধর্মীয় পরিচয় বিকৃত করে উদ্দেশ্যপ্রণোদিত সংবাদ ভাইরাল করায় এক তরুণ সামাজিক লাঞ্ছনা সইতে না পেরে আত্মহত্যা করেন। এমন নীচতা ধর্মীয় নিপীড়নেরই আধুনিক রূপ এবং কঠোর শাস্তিযোগ্য।</t>
  </si>
  <si>
    <t>নড়াইলের এক গ্রামে ধর্মীয় সংঘর্ষে ৩৫ জন নিহত হন; বহু মানুষ আহত হয়।</t>
  </si>
  <si>
    <t>দু'হাজার সতের সালে রাঙ্গামাটির লংগদু থানায় ইসলামের নবী এবং ইসলাম ধর্মকে নিয়ে কটূক্তি করে দেয়া এক ফেসবুক পোষ্টের জের ধরে হওয়া মামলায় এই রায় দিয়েছে আদালত</t>
  </si>
  <si>
    <t>বিশ্বনবী হজরত মুহাম্মদ সা: ছিলেন মহান সমরনায়ক ও একত্ববাদের বীজ বপনকারী।</t>
  </si>
  <si>
    <t>ধর্মীয় মানুষেরা বুঝতে পারবে যে উচ্ছৃঙ্খলতার কোনো স্থান নেই। যারা এ কাজ করেছে তারা বকধার্মিক; তাদের ফাঁদে পড়ে আমরা ইসলামের সুনাম নষ্ট করতে চাই না। প্রত্যেকের নিজের ধর্ম পালন করার অধিকার আছে। অপ্রয়োজনীয় বিষয় ফেসবুকে ছড়ালে ভালো না।</t>
  </si>
  <si>
    <t>সিলেটে পুরানো মন্দিরের সামনে রাস্তা দখল করে ময়লা ফেলে অবরোধ সৃষ্টি করে একদল স্থানীয় মুসল্লি।</t>
  </si>
  <si>
    <t>ধর্মীয় দাঙ্গায় মুসলমানদের শতাধিককে হত্যা করা হয়, নারীরা ধর্ষণের শিকার হয়, কেউ আত্মহত্যা করে, ২৫০০ ঘর পুড়ে যায়, প্রায় ১২০০০ মানুষ গৃহহীন হয়</t>
  </si>
  <si>
    <t>যে বা যারা করছে তারা কি জানে না এটা ঐ ধর্মের মানুষ দেখার পর এটার প্রতিক্রিয়া কি হতে পারে!জানে! জেনেই করছে।</t>
  </si>
  <si>
    <t>ভলকার তুর্ক ইউএনএইচআরসিকে বলেছেন, মুসলমানদের পাশাপাশি অন্যান্য ধর্ম বা সংখ্যালঘুদের বিরুদ্ধে এ ধরনের উসকানিমূলক কর্মকাণ্ড ভুল, আপত্তিকর ও দায়িত্বজ্ঞানহীন।</t>
  </si>
  <si>
    <t>আল্লাহর শিক্ষা অনুসারে, ধর্মের মূল উদ্দেশ্য মানুষের হৃদয়ে শান্তি প্রতিষ্ঠা করা এবং তাদের জীবনে সঠিক পথের সন্ধান দেয়া, যাতে তারা একে অপরকে ভালোবাসতে ও সহযোগিতা করতে পারে, এটি কখনোই অন্যদের ওপর জোরাজুরি বা আক্রমণ করার উদ্দেশ্যে নয়।</t>
  </si>
  <si>
    <t>বাংলাদেশে ১৯৯২ সালে ধর্মীয় উসকানাকে কেন্দ্র করে হিন্দু ও অন্যান্য সংখ্যালঘুদের উপর পরিকল্পিত হামলা, মন্দির ভাঙচুর ও জুলুম চালিয়ে ধর্মীয় ভাঙচুর ও সহিংসতার এক জঘন্য নজির গড়ে তোলা হয়।</t>
  </si>
  <si>
    <t>মানিকগঞ্জে মসজিদে অজানা একটি গোষ্ঠী শুকরের মাংস ফেলে দিয়ে ধর্মীয় অনুভূতিতে আঘাত করে।</t>
  </si>
  <si>
    <t>সত্যিকারের ধর্মিক ব্যক্তি কখনো অন্য ধর্মের প্রতি আঘাত করে না, বরং মানবতাকেই সর্বোচ্চ মূল্য দেয়।</t>
  </si>
  <si>
    <t>ইসলামবিদ্বেষের প্রতিবাদে মুসলমানরা হামলার শিকার হলেও, উস্কানিদাতাদের বিরুদ্ধে ব্যবস্থা নেওয়া হয় না—এটাই বাংলাদেশের বিচারব্যবস্থা।</t>
  </si>
  <si>
    <t>বাংলাদেশের দ্বিতীয় বৃহত্তম শহর চট্টগ্রাম যেখানে প্রায় ৩০% হিন্দুর বসবাস ছিল ,৩০ অক্টোবর সন্ধ্যায় চট্টগ্রামের হিন্দু সম্প্রদায়ের উপর প্রথম হানাহানির ঘটনা ঘটায়।</t>
  </si>
  <si>
    <t>দেশীয় পণ্যে অনিহা, কিন্তু বিদেশি নাম দেখলেই আগ্রহ—এই ভণ্ডামি দীনদারিতার সাথে যায় না। একজন সৎ মুসলিম ভণ্ডতা নয়, সত্য ও ন্যায়ের পক্ষে থাকে।</t>
  </si>
  <si>
    <t>গত বৃহস্পতিবার শহীদুন নবী জুয়েল নামে এক ব্যক্তিকে পিটিয়ে হত্যা করার পর আগুনে পুড়িয়ে দেবার যে ভিডিও সামাজিক যোগাযোগের মাধ্যমে ছড়িয়ে পড়েছে, সেগুলো দেখেই অভিযুক্তদের চিহ্নিত করা হচ্ছে বলে জানান এসপি আবিদা সুলতানা।</t>
  </si>
  <si>
    <t>কল্যাণনগর ও নারায়ণপুর থেকে আসা মুসলিম দাঙ্গাবাজেরা একত্রিত হয়ে ধর্মীয় বিদ্বেষে উসকানিতে কাশেমের নেতৃত্বে জামিনদার অফিসে হামলা চালায় এবং তাণ্ডব চালায়।</t>
  </si>
  <si>
    <t>এই মহল সমাজ ও জাতির শত্রু, হিন্দু-মুসলিম উভয়ের শত্রু। তাই হিন্দু-মুসলিম সম্প্রদায়কে তাদের অবস্থান থেকে সজাগ ও সতর্ক থাকার আহ্বান জানাচ্ছি।</t>
  </si>
  <si>
    <t>কুমিল্লায় পুজামন্ডপে পবিত্র কুরআনুল কারীম অবমাননার তীব্র নিন্দা ও প্রতিবাদ জানাই। পাশাপাশি জড়িতদের দৃষ্টান্তমূলক শাস্তি দাবী করছি। কোরআনের পবিত্রতা রক্ষা করা আমাদের মুসলমানদের ঈমানি দায়িত্ব।।।</t>
  </si>
  <si>
    <t>মন্দির ভাংচুর ও হিন্দু সম্প্রদায়ের ওপর হামলা চালিয়ে তাদের ঘরবাড়ি জ্বালিয়ে দেওয়া — এসব এক কথায় সাম্প্রদায়িক দাঙ্গা।</t>
  </si>
  <si>
    <t>সব ধর্মগ্রন্থই মর্যাদার প্রতীক; তাই অবমাননা নিন্দনীয়। আল-কোরআন বিশ্বে সবচেয়ে পঠিত পবিত্র গ্রন্থ, যার অবমাননা ইসলাম ধর্মে মারাত্মক অপরাধ ও চরম শাস্তিযোগ্য।</t>
  </si>
  <si>
    <t>উগ্র মতাদর্শের কারণে ধর্মীয় দাঙ্গা ছড়িয়ে পড়লে অনেক নিরপরাধ মানুষের জীবন বিপন্ন হয়েছে।</t>
  </si>
  <si>
    <t>লামা বাজার পার হয়ে মাছ বাজারের মোড়ে গিয়ে সহস্র মানুষ ১০ টায় লামা বাজার কেন্দ্রীয় হরি মন্দিরে হামলা করে মন্দিরের মালামাল,লোহার গেইট, সীমানা দেয়াল, প্যান্ডেল, ডেকোরেশনের গেইট ভেঙে ফেলে।</t>
  </si>
  <si>
    <t>কিছু দুর্বৃত্ত গুরুদ্বারে ঢুকে ভাঙচুর চালায়, ধর্মীয় প্রতীক ক্ষতিগ্রস্ত হয় এবং সেখানকার সিখ উপাসকরা আহত হন, যা ধর্মীয় সহিংসতা ও বিদ্বেষপ্রসূত হামলার ইঙ্গিত বহন করে।</t>
  </si>
  <si>
    <t>রাজা বায়িন্নাউং (১৫৫০-১৫৮৯) এর আমলে ধর্মীয় অসহিষ্ণুতা বৃদ্ধি পায় এবং বৌদ্ধরা মুসলিমদের হত্যা করে</t>
  </si>
  <si>
    <t>মৌলভীবাজারে হিন্দু পল্লীতে রাধাকৃষ্ণ মন্দিরে ঢুকে হাতুড়ি দিয়ে মূর্তি ভাঙচুর করে এবং পূজার সামগ্রী নষ্ট করে দেয়।</t>
  </si>
  <si>
    <t>এক ধর্মীয় নেতাকে হত্যার পর তার অনুসারীদের উপর হামলা চালিয়ে ৪০ জন প্রাণ হারায়।</t>
  </si>
  <si>
    <t>ধর্মীয় উগ্রতার বিভীষিকায় প্রায় ৪৫০০ হিন্দু ফেনী সরকারি কলেজে আশ্রয় নেয় এবং আরও ২৫০০ হিন্দু নোয়াখালীর বিভিন্ন আশ্রয়কেন্দ্রে পালিয়ে যায়।</t>
  </si>
  <si>
    <t>প্রকৃত হিন্দু বা মুসলমান এমন কাজ করতে বা সমর্থন দিতে পারে না; কোনো ধর্মই তা অনুমোদন করে না। সংখ্যালঘু হিন্দুরা আমাদের প্রতিবেশী।</t>
  </si>
  <si>
    <t>সব প্রলোভন ও হুমকি উপেক্ষা করে রাসূল (সা.) দ্বীনের পথে এতটাই অটল ছিলেন যে, এক হাতে সূর্য আর অন্য হাতে চাঁদ দিলেও তিনি পিছপা হতেন না।</t>
  </si>
  <si>
    <t>ফেনীতে দুর্গাপূজার সময় তৈরি প্রতিমার গায়ে পেট্রল ছিটিয়ে পুড়িয়ে ফেলে দুর্বৃত্তরা।</t>
  </si>
  <si>
    <t>রাঙামাটির একটি বৌদ্ধবিহারে আগুন দিয়ে পিতলের বুদ্ধমূর্তি গলে যায় এবং প্রার্থনা কক্ষটি সম্পূর্ণ ধ্বংস হয়।</t>
  </si>
  <si>
    <t>২০১৮ সালের অক্টোবর মাসে এক ধর্মীয় জিগির তুলে রাজনৈতিক দলের সদস্যরা সংখ্যালঘুদের বাড়িতে আগুন দেয়, অন্তত ৩৮ জন নিহত হন।</t>
  </si>
  <si>
    <t>ভালো কাজের মধ্যে অনেক বাঁধা থাকে এটা পৃথিবীর সৃষ্টির শুরু থেকেই, সেই ভালোটা যদি ইসলাম হয় তাহলে তো শত্রুর অভাব নেই, আপনারা যেভাবে বললেন, আমাদের উচিত আরো মিডিয়াতে অগ্রসর হওয়া।।। আপনাদের দু'জনকেই আল্লাহ তাআলার ভালো কাজ করার জন্য এগিয়ে নিয়ে যাক, আমিন</t>
  </si>
  <si>
    <t>বরিশালে আওয়ামী লীগপন্থী মুসলিমরা হিন্দুদের বাড়িঘর দখল করে তাড়িয়ে দিচ্ছে, তপন সরকারের পরিবারকে পিটিয়ে ঘরছাড়া করেছে, কারণ তারা হিন্দু।</t>
  </si>
  <si>
    <t>বাংলাদেশের বিভিন্ন অঞ্চলে হিন্দু সম্প্রদায়ের সবচেয়ে বড় ধর্মীয় উৎসব দুর্গাপূজাকে কেন্দ্র করে যেসব সহিংসতার ঘটনা ঘটেছে।</t>
  </si>
  <si>
    <t>২০ জুন বাগেরহাটের চিতলমারী উপজেলার চরডাকাতিয়া এলাকার একাদশ শ্রেণির একজন ছাত্রী (১৮) ফেসবুক আইডি থেকে ইসলাম ধর্ম ও হযরত মোহাম্মদ-কে কটূক্তি ও অবমাননা করে পোস্ট দেন এবং ভিডিও শেয়ার করেন। এ ঘটনার পরে এলাকায় উত্তেজনা দেখা দিলে রোববার (১৯ জুন) রাতে তাকে গ্রেফতার করে পুলিশ।</t>
  </si>
  <si>
    <t>যারা বিজ্ঞানকে ভালবেসে খবরাখবর রাখেন, সাথে সাথে প্রচন্ড রকম ধর্মভীরু (যেমন আমি) তারা জানে, জীবন মানে শুধুই উপরওয়ালাকে ইবাদৎ করা আর বিজ্ঞানচর্চা হচ্ছে সেই ইবাদতেরই একটা অংশ মাত্র।</t>
  </si>
  <si>
    <t>আমি বিশ্বাস করি বাংলাদেশের বড় জনগোষ্ঠীর সঙ্গে হিন্দুদের ভালো সম্পর্ক ও সম্প্রীতি রয়েছে।</t>
  </si>
  <si>
    <t>অপারেশন সার্চলাইটের পর খুলনায় শান্তি কমিটি ও রাজাকার বাহিনী গঠিত হয়। এপ্রিল মাসে রাজাকাররা হিন্দুদের ওপর নির্যাতন ও সম্পত্তি লুটপাট শুরু করে।</t>
  </si>
  <si>
    <t>আল্লাহর আদেশ মেনে চললে জীবনে প্রতিটি পদক্ষেপ সঠিকভাবে নিয়ন্ত্রিত হয়, এবং আমরা সত্যিকারের সুখ এবং শান্তি অনুভব করি।</t>
  </si>
  <si>
    <t>১০ উইকেটের হারের পর সামাজিক যোগাযোগ মাধ্যমে আক্রমণের শিকার হন মোহাম্মদ শামি। ধর্ম নিয়ে তাকে করা হয় কটাক্ষ।</t>
  </si>
  <si>
    <t>2017 সালে ধর্মীয় সংখ্যালঘুদের উপর "হত্যা, হত্যার চেষ্টা, মৃত্যুর হুমকি, হামলা, ধর্ষণ, অপহরণ, এবং বাড়ি, ব্যবসা এবং উপাসনালয়ে হামলার" শত শত ঘটনা উল্লেখ করেছে ।</t>
  </si>
  <si>
    <t>যেসব ব্যক্তি ও সংস্থা বাংলাদেশের জনগণের উপর পরিচালিত নৃশংস হত্যাযজ্ঞ বন্ধ করতে পারে, যদি তারা নিরব থাকে এবং উপেক্ষা করে, তবে একদিন তাদের সৃষ্টিকর্তার সামনে জবাবদিহি করতে হবে।</t>
  </si>
  <si>
    <t>খ্রিষ্টানদের অধিকাংশই ইসলামকে মিথ্যা ধর্ম হিসেবে দেখে কারণ এর অনুসারীরা খ্রিষ্টের ত্রিত্ব, দেবত্ব এবং খ্রীষ্টের ক্রুশবিদ্ধকরণ ও পুনরুত্থানকে প্রত্যাখ্যান করে।</t>
  </si>
  <si>
    <t>গ্রামবাসীদের ধর্ম পরীক্ষা করতে কালেমা তেলাওয়াতে বাধ্য করে ব্যর্থদের গলা কেটে হত্যা করে রাজাকাররা। ভয়ে কেউ কেউ আত্মহত্যা করে, বাকিরা লাশ ফেলে পলায়ন করে বন পাহাড়ে আত্মগোপন করে।</t>
  </si>
  <si>
    <t>ধর্মে ফেরত আসা লোকদের জন্য একটি সংগঠন থাকা উচিত যা তাদের ধর্ম শিক্ষা ও সহযোগিতা করবে।</t>
  </si>
  <si>
    <t>হক্কানী আলেমদের দায়িত্ব বিভ্রান্তি থেকে মানুষকে হেদায়েত করা, আর কোনো ব্যক্তির ধর্মীয় স্থানে হামলা করা শরীয়তে নিষিদ্ধ ও স্পষ্টভাবে ভুল।</t>
  </si>
  <si>
    <t>১৪ সেপ্টেম্বর ২০২৩ ঠাকুরগাঁওয়ে কালীপূজার মন্ডপে প্রতিমা তৈরির সামগ্রী জ্বালিয়ে দেয় দুর্বৃত্তরা নির্মাণাধীন প্রতিমার অর্ধেক পুড়ে ছাই হয়ে যায়</t>
  </si>
  <si>
    <t>ঘটনার দিন প্রায় দু’শজন মুসলিম হামলাকারী মন্দিরের একটি সীমানা প্রাচীর ভেঙে জমি দখলের চেষ্টা করে এবং মন্দিরে ভাঙচুর চালায়। এসময় হামলা প্রতিরোধ করতে গিয়ে তিনজন ব্যাক্তি আহত হয়।</t>
  </si>
  <si>
    <t>ধর্মের নামে উগ্রতার ফলে বহু নিরীহ মানুষকে হত্যা করা হয়েছে, কেউ আত্মহত্যা করেছে আত্মরক্ষায়, মানবতা ভুলে গিয়ে এই দুঃসহ ঘটনা ইতিহাসে রক্তাক্ষরে লেখা থাকবে।</t>
  </si>
  <si>
    <t>যীশু খ্রিস্ট শিখিয়েছেন প্রতিবেশীর প্রতি ভালোবাসা ও সহানুভূতি দেখাতে, যা ধর্মীয় সহনশীলতা ও শান্তিপূর্ণ বিশ্ব গঠনে সহায়ক।</t>
  </si>
  <si>
    <t>বাংলাদেশেও সম্প্রতি হিজাব পরা মুসলিম নারীদের উপর হামলার ঘটনা বৃদ্ধি পেয়েছে, যাতে অনেকেই গুরুতর আহত হয়েছেন।</t>
  </si>
  <si>
    <t>বাস্তবে বুদ্ধ এ ধরণের কোনো প্রশ্নের উত্তর প্রদান করেননি। এসব প্রশ্নের ক্ষেত্রে বুদ্ধ অবান্তর বলে মৌন ছিলেন, এরূপ লেখা ত্রিপিটক শাস্ত্রে উল্লেখ রয়েছে।</t>
  </si>
  <si>
    <t>আল্লাহ সুবহানাহু তা'আলা বলেন,"আর এ দুনিয়ার জীবন খেল তামাশা ছাড়া আর কিছুই নয় এবং নিশ্চয়ই আখিরাতের নিবাসই হলো প্রকৃত জীবন, যদি তারা জানত।"(সূরা আল আনকাবূত;৬৪)</t>
  </si>
  <si>
    <t>যে গীতা মানে, সে কখনো হিন্দুকে ছোট বা নিজেকে বড় মনে করে না, সবাই এক এবং ঈশ্বরের দাস জানে। সনাতন ধর্মের কল্যাণে কাজ করে, সবার উত্থানে ঈশ্বরের আদেশ পালন করে।</t>
  </si>
  <si>
    <t>মহেশ্বরপাশা, পাবলা,চন্দনীমহল, দৌলতপুরসহ আশেপাশের হিন্দুপ্রধান জনবসতি গুলোর উপর তীব্র আক্রোশে আক্রমণ শুরু করে।সেখানকার হিন্দুদের বাড়ি-ঘর, ব্যবসাপ্রতিষ্ঠান, ধর্মস্থান লুট ও অগ্নিসংযোগ শুরু করে তারা।</t>
  </si>
  <si>
    <t>খ্রিস্টান ধর্মাবলম্বীরা ধর্মান্তরের নামে সমাজে বিভক্তি ও হিংসার সৃষ্টি করছে যা দেশের উন্নয়নকে বাধাগ্রস্ত করছে।</t>
  </si>
  <si>
    <t>তাহলে আপনি প্রতিমা রানী বিশ্বাস কেন বারংবার এই ধরনের কটুক্তি করছেন। আপনার এই ইচ্ছাকৃত আচরণের অবশ্যই বিচার হওয়া উচিত।</t>
  </si>
  <si>
    <t>হিন্দু উগ্রবাদীদের দ্বারা পরিবারগুলিকে তাদের ঘরে বাঁচিয়ে রাখা, গণধর্ষণ করার পরে নারীদের আগুন দেওয়া এবং শিশুদের টুকরো টুকরো করার মতো নৃশংসতার নথি দেওয়া হয়েছে।</t>
  </si>
  <si>
    <t>নরসিংদীতে দীর্ঘদিন ধরে বিদ্যমান ধর্মীয় দ্বন্দ্ব সংঘর্ষে রূপ নেয়, যেখানে ৩১ জন নিহত হন। দুই সম্প্রদায়ের মধ্যে ব্যাপক অগ্নিসংযোগ ও ভাঙচুর হয়। নিরাপত্তা বাহিনী পরিস্থিতি নিয়ন্ত্রণে আনতে ব্যর্থ হয়।</t>
  </si>
  <si>
    <t>খ্রিস্টান ভাইয়েরা! যে কুরআন পুড়ছেন সেই কুরআন যিশুকে সম্মান ও শ্রদ্ধা দিয়েছে ২০০ কোটি মুসলমানদের কাছে। যে কুরআন পুড়ছেন সেই কুরআন মেরীকে সম্মান ও শ্রদ্ধা দিয়েছে।</t>
  </si>
  <si>
    <t>ধর্মের আসল লক্ষ্য হলো মানবজীবনে শান্তি, ভালোবাসা ও সৌহার্দ্য সৃষ্টি করা, যা সবাইকে পরস্পরের প্রতি সম্মান ও সহানুভূতি শিখায়।</t>
  </si>
  <si>
    <t>নরসিংদীতে ধর্মীয় গোষ্ঠীর সংঘর্ষে ৩৩ জন নিহত হয়; ব্যাপক ক্ষতি হয়।</t>
  </si>
  <si>
    <t>৩১ ডিসেম্বর ২০২২ বাগেরহাটের ফকিরহাটে শিবমন্দিরে ঢুকে শিবলিঙ্গটি ভেঙে ফেলে এবং মন্দিরের চূড়ার ঘণ্টা নিয়ে যায়</t>
  </si>
  <si>
    <t>পতিত সরকার ধর্মীয় সংগঠনের ওপর দমন-পীড়ন চালিয়ে ক্ষমতা প্রতিষ্ঠায় হত্যাকাণ্ড ও ভয়ের রাজনীতি করেছে।</t>
  </si>
  <si>
    <t>আমরা মুসলিমরা অন্য ধর্ম সম্পর্কে অপমান করি না, কিন্তু তারা আমাদের ধর্ম নিয়ে বাজে কথা বলে, যা নিষিদ্ধ।</t>
  </si>
  <si>
    <t>আপনাকে কত সালে এরেস্ট করা হয়েছিল সনাতন ধর্ম প্রচারের জন্য? আর সে ইতিহাস আসলে কি সত্য যা আপনি বললেন?</t>
  </si>
  <si>
    <t>আল্লাহ বলেন, পবিত্র কোরআন তিনিই নাজিল করেছেন এবং তিনি নিজেই এর হেফাজত করবেন। তিনি চক্রান্তকারীদের ধ্বংস করবেন।</t>
  </si>
  <si>
    <t>সম্প্রতি নারায়ণগঞ্জের একটি স্কুলের প্রধান শিক্ষক শ্যামল কান্তি ইসলাম ধর্ম অবমাননার অভিযোগে হামলা ও লাঞ্ছিত হয়েছেন।</t>
  </si>
  <si>
    <t>গান্ধীজীর নোয়াখালী যাত্রা ইসলামের প্রতি নতুন চিন্তার আলো জ্বালায়। ১৯৪৭ সালে এ কে ফজলুল হক বলেন, এটি ইসলামকে গভীরভাবে উপলব্ধির পথ সুগম করেছে।</t>
  </si>
  <si>
    <t>লালমনিরহাটে সাম্প্রদায়িক দাঙ্গায় একজনকে পিটিয়ে ও আগুনে পুড়িয়ে হত্যার ক'দিন পরেই কুমিল্লায় হিন্দুদের কয়েকটি বাড়িতে অগ্নিসংযোগ করা হয়েছে।</t>
  </si>
  <si>
    <t>অন্যান্য প্রতিবেদনে মৃতের সংখ্যা প্রায় ১০০ জন বলে উল্লেখ করা হয়েছে এবং ৪০ জনেরও বেশি নারীকে যৌন নির্যাতনের শিকার হওয়ার পরামর্শ দেওয়া হয়েছে এবং অনেক খ্রিস্টানকে সহিংসতার হুমকি দিয়ে হিন্দু ধর্মে ধর্মান্তরিত করতে বাধ্য করা হয়েছে।</t>
  </si>
  <si>
    <t>মাদ্রাসা আর জেনারেল শিক্ষা প্রতিষ্ঠানের যৌন কেলেঙ্কারির কম্পেয়ার করলে আকাশ-পাতাল ফারাক দেখা যায়। জেনারেলে এর হার অনেক বেশি; কিন্তু গুক্লার[হলুদ] মিডিয়া হাইলাইট করে না জিনিসগুলো।</t>
  </si>
  <si>
    <t>কুরআনের প্রত্যাদেশের নীতির সাথে দৃঢ় সংযুক্তি এবং ইসলামী ধর্মীয় অনুশীলনের সুস্পষ্ট আর্থ-সামাজিক বিষয়বস্তু বিশ্বাসের এই বন্ধনকে আরও সুদৃঢ় করেছে।</t>
  </si>
  <si>
    <t>জানেন কি প্রাচীনকালের বাংলায় কেমন ছিল এই ধর্ম? তখন বাঙালির পূর্বপ্রজন্ম কোন ধর্ম অবলম্বন করত?</t>
  </si>
  <si>
    <t>তার মায়ের সিঁদুর দেখে ভুল ধারণা ছিলো তিনি মুসলিম, যা স্পষ্ট হওয়ায় কিছু নেতিবাচক মন্তব্য হয়েছে।</t>
  </si>
  <si>
    <t>কুরআন অবমাননাকারী এবং যারা কুরআন সম্পর্কে বিরূপ ধারণা রাখেন তাদের প্রতি আমার বিনীত আবেদন, মনটাকে সম্পূর্ণ উন্মুক্ত রেখে একবার শুরু থেকে শেষ পর্যন্ত কুরআনের অনুবাদ পড়ুন। আমার বিশ্বাস, মক্কার মুশরিকদের মতো আপনার মনও সাক্ষ দেবে ‘এটা কোনো মানুষের কথামালা নয়’।</t>
  </si>
  <si>
    <t>মসজিদের ব্যবস্থাপনা কমিটির চেয়ারম্যান দিলনওয়াজ পাশা জানান, “হামলায় আমাদের ইমাম সাদ নিহত হয়েছেন এবং আরও কয়েকজন আহত হয়েছেন।</t>
  </si>
  <si>
    <t>ধর্মীয় বিদ্বেষ ছড়িয়ে এক শিশুকে ধর্মীয় পাঠ না শিখায় মারধর করে হত্যা করা হয়, প্রতিবাদে সহিংসতায় ১৪ জন নিহত হন।</t>
  </si>
  <si>
    <t>বগুড়ায় ধর্মীয় গোষ্ঠীর মধ্যে সংঘর্ষে ৪৩ জন প্রাণ হারায়। পুলিশ পরিস্থিতি নিয়ন্ত্রণে ব্যর্থ হলেও সরকার শান্তি বজায় রাখার আহ্বান জানায়। অনেক পরিবার নিরাপত্তার জন্য আশ্রয় খুঁজে নেয়।</t>
  </si>
  <si>
    <t>বরিশালের গৌরনদীতে সংখ্যালঘুদের জমিতে মন্দির নির্মাণ ঠেকাতে উগ্র গোষ্ঠী হুমকি দিয়ে কাজ বন্ধ করে দেয় এবং পরে মন্দিরের কাঠামো ধ্বংস করে।</t>
  </si>
  <si>
    <t>চলতি বছরের মার্চ থেকে সেপ্টেম্বরের ‘সাম্প্রদায়িক চালচিত্র’ প্রতিবেদনে বলা হয়েছে, সংখ্যালঘু ধর্মীয় সম্প্রদায়ের ১৭ জন হত্যা, ১০ জন হত্যাচেষ্টার শিকার, ১১ জন হত্যার হুমকি পেয়েছে, ৩০ জন ধর্ষণ ও নির্যাতনের শিকার হয়েছে, ৬ জন ধর্ষণের চেষ্টা ও শ্লীলতাহানির কারণে ৩ জন আত্মহত্যা করেছে।</t>
  </si>
  <si>
    <t>গুলি না করে, কুরানের পাখিদের হিন্দুদের ঘরবাড়ি ভাঙচুর অগ্নিসংযোগ করতে দেওয়া উচিৎ তাইনা?</t>
  </si>
  <si>
    <t>আমার জীবনের সেরা বাক্যগুলো আজ শুনলাম, এই তৌফিক এই রহমত আমাকে মহান রবই দান করেছেন,আমার সৌভাগ্য আলহামদুলিল্লাহ</t>
  </si>
  <si>
    <t>গৌতম বুদ্ধ তাঁর প্র্যাকটিক্যাল জীবন ও তাঁর নিজস্ব বাস্তবতা থেকে ঈশ্বরের অস্তিত্বের উপলব্ধি পাননি</t>
  </si>
  <si>
    <t>২০১৭ সালের ডিসেম্বর মাসে এক গোষ্ঠী ধর্মীয় গোষ্ঠী থেকে ধর্মত্যাগ করায় এক যুবককে হত্যা করা হয়; প্রতিবাদে ১৮ জন নিহত হন।</t>
  </si>
  <si>
    <t>২০১৬ সালের ২৯ অক্টোবর ব্রাহ্মণবাড়িয়ার নাসিরনগরে ‘রসরাজ দাস নামে এক যুবক ফেসবুকে ধর্ম অবমাননাকর ছবি পোস্ট করেছে’—এমন অভিযোগ তুলে তাকে পিটিয়ে পুলিশে দেয় একদল যুবক।</t>
  </si>
  <si>
    <t>ওহাইওতে এক ব্যক্তির হাতে ছুরি নিয়ে সোমালি মুসলিম অভিবাসীদের ওপর হামলার ঘটনা ঘটে, যা অভিবাসী ও মুসলিমবিদ্বেষী মনোভাবের বহিঃপ্রকাশ।</t>
  </si>
  <si>
    <t>৬ জুন ২০২২ চট্টগ্রামের হাটহাজারীতে একটি দুর্গামন্দিরে দুর্বৃত্তরা ভোরে ঢুকে প্রধান প্রতিমাটির মাথা ও মুকুট ভেঙে দেয়</t>
  </si>
  <si>
    <t>বাংলাদেশের একটি স্থানে সেনাবাহিনী ও সহযোগীরা হিন্দু পুরুষদের সারিবদ্ধ করে মেশিনগান দিয়ে হত্যা করে এবং মৃতদেহ নদীর ধারে মাটিচাপা দেয়।</t>
  </si>
  <si>
    <t>১৩ অক্টোবর ২০২১, বুধবার দূর্গাপূজা চলাকালিন সময়ে অষ্টমীর দিনে খুব ভোরে কুমিল্লা শহরের নানুয়ারদীঘির পাশের একটি পূজামণ্ডপের বাইরে রাম-সীতা-লক্ষ্মণ-হনুমান মূর্তিরস্থলে হনুমান মূর্তির কোলের উপর একটি কুরআন দেখা যায়। বিষয়টি দেখার পর কেউ একজন বাংলাদেশের জাতীয় জরুরি সেবা ৯৯৯ এর মাধ্যমে জানালে কুমিল্লা কোতোয়ালী থানার ভারপ্রাপ্ত কর্মকর্তা এসে সেটি সরিয়ে ফেলে।</t>
  </si>
  <si>
    <t>ইফতার, জুম্মা ও ঈদের নামাজকে অপ্রয়োজনীয় দেখিয়ে মসজিদকে মূল্যহীন বানানোর চেষ্টা করা হচ্ছে—যেমনটা বাবরি মসজিদের ক্ষেত্রে হয়েছিল।</t>
  </si>
  <si>
    <t>একজন মুসলিম হিসাবে তীব্র নিন্দা ও প্রতিবাদ জানাচ্ছি। হে আল্লাহ তুমি এই জালিমদের বিচার করো।</t>
  </si>
  <si>
    <t>এক নারী ধর্মের কারণে চাকরি থেকে বরখাস্ত হন, পরবর্তী কালে দারিদ্র্যের চাপে তিনি আত্মহত্যা করেন; সহানুভূতিহীন আচরণে ১০ জন আত্মহত্যা করেন।</t>
  </si>
  <si>
    <t>মুসলমানদের প্রার্থনার জন্য ক্বিবলা চারপাশে সাতবার ঘড়ির কাঁটার বিপরীত দিকে হাঁটেন, সাফা ও মারওয়া পাহাড়ের মাঝখানে সাতবার দ্রুত পায়ে হেঁটে যান, তারপর জমজম কূপ থেকে পানি পান করেন</t>
  </si>
  <si>
    <t>পবিত্র ইসলাম ধর্ম নিয়ে উগ্রবাদী মনোভাবে ভিত্তিহীন পোস্ট করার অভিযোগে অভিযুক্ত সোশ্যাল মাধ্যম অপঃসারণ।</t>
  </si>
  <si>
    <t>ধর্মীয় কারণে এক চিকিৎসককে পিটিয়ে হত্যা করা হয়, ১৩ জন আহত হয়।</t>
  </si>
  <si>
    <t>হিন্দুদের উৎসব মানেই শব্দদূষণ আর রাস্তা বন্ধ, সরকার এসব নিষিদ্ধ করুক।</t>
  </si>
  <si>
    <t>মুসলিম উগ্রপন্থীরা নিজেদের ধর্মকে অন্য ধর্মের থেকে শ্রেষ্ঠ মনে করে এবং অন্য ধর্মাবলম্বীদের অবজ্ঞা করে।</t>
  </si>
  <si>
    <t>২০১৭ সালের জুন মাসে এক গোষ্ঠী ধর্মীয় গোষ্ঠীর বিরোধের কারণে বিদ্যালয়ে দাঙ্গা বাঁধে, এতে ২১ জন নিহত হয়।</t>
  </si>
  <si>
    <t>প্রতিবাদকারীরা ধর্মীয় অনুভূতিতে আঘাতের অভিযোগে একটি দূতাবাসে হামলা চালিয়ে জানালা ভাঙচুর করে, পরে পুলিশ এসে তাদের ছত্রভঙ্গ করে।</t>
  </si>
  <si>
    <t>চট্টগ্রামে দুর্গাপূজার প্রতিমা গড়ার স্থানে ভাঙচুর চালিয়ে সব তৈরি প্রতিমা মাটিতে ফেলে ভেঙে দেয়া হয়।</t>
  </si>
  <si>
    <t>হে আল্লাহ তুমি অসহায় মানুষদের প্রতি রহম করো এবং তাদের দুঃখ গুচাই দাও।</t>
  </si>
  <si>
    <t>১০ই মার্চ থেকেই সরকারী আনসার বাহিনীর সদস্যদের নেতৃত্বে মুসলিমরা হিন্দুদেরকে ভীতসন্ত্রস্ত করে তুলতে শুরু করে। ঝিনাইদহ সাব-ডিভিশনে হিন্দুদেরকে তাদের বাড়ি ঘর থেকে উচ্ছেদ করা হয় এবং সে সব বাড়িঘর মুসলিমরা দখল করে নেয়।</t>
  </si>
  <si>
    <t>মুসলিম শাসনের অবসানের পর থেকে দক্ষিণ এশিয়ায় মুসলিম ও হিন্দু সম্প্রদায় একটি সূক্ষ্ম ভারসাম্যে বসবাস করছে। হিংসাত্মক সংঘর্ষ প্রায়ই দেখা গেছে</t>
  </si>
  <si>
    <t>২০১৭ সালের জুন মাসে এক গোষ্ঠী ধর্মীয় গোষ্ঠীর মধ্যে সংঘর্ষে ২৮ জন নিহত হন; বহু মানুষ আহত হয়।</t>
  </si>
  <si>
    <t>২০১৮ সালের সেপ্টেম্বর মাসে এক তরুণ তার বোনকে ধর্মত্যাগ থেকে বাঁচাতে গিয়ে হত্যা করা হয়, ঘটনার সময় আরও ১২ জন প্রাণ হারায়।</t>
  </si>
  <si>
    <t>ঝালকাঠির একটি মসজিদের বাইরে অজ্ঞাত পরিচয়ের একদল ব্যক্তি ধর্মীয় বিদ্বেষমূলক লিফলেট ছড়িয়ে দেয় এবং উত্তেজনা ছড়ায়।</t>
  </si>
  <si>
    <t>যারা কোরআনে বিশ্বাস করে, তারা কখনো শান্তিপ্রিয় হতে পারে না।</t>
  </si>
  <si>
    <t>কুড়িগ্রামে একটি ধর্মীয় বিতর্ক থেকে শুরু হয়ে হিন্দু ও মুসলিমদের মধ্যে সংঘর্ষ হয়। সংঘর্ষে ৩৪ জন নিহত হন এবং অসংখ্য মানুষ আহত হয়।</t>
  </si>
  <si>
    <t>ধর্মান্ধদের লোলুপ দৃষ্টিতে এখন আমাদের প্রাণের প্রিয় দেশ!সংকীর্ণমনা ধর্মান্ধরা হয়তো চান সংখ্যালঘু শূণ্য বাংলাদেশ!</t>
  </si>
  <si>
    <t>২০২০ সালের জানুয়ারিতে এক ধর্মীয় গোষ্ঠী সংখ্যালঘুদের উপর সহিংসতা চালিয়ে ২৬ জন নিহত হয়; তাদের বাড়িঘর পুড়িয়ে দেয়।</t>
  </si>
  <si>
    <t>দুজন মুসল্লি আসরের নামাজ পড়তে মসজিদে মোটরসাইকেলে এসেছিলেন। নামাজ শেষে ছোটখাটো ভুল বোঝাবুঝি হয়েছিল, কিন্তু আল্লাহর রহমতে সবাই শান্তভাবে সমাধানে পৌঁছাতে পেরেছিল।</t>
  </si>
  <si>
    <t>গৌরী লঙ্কেশ ছিলেন হিন্দু দক্ষিণপন্থীদের সমালোচক। এক পুলিশ কর্মকর্তা জানিয়েছেন, তিনি বাড়ির দরজা খুলার সময় বুকে দুইটি ও মাথায় একটী গুলি খেয়েছিলেন।</t>
  </si>
  <si>
    <t>ঠাকুরগাঁওয়ে মন্দিরে ভাঙচুর ও উড়িয়ে দেওয়ার হুমকি, অজুহাতে রাসপূজায় বাধা</t>
  </si>
  <si>
    <t>৫ জানুয়ারী চট্টগ্রাম বিভাগের সাতকানিয়া উপজেলা এবং বনশখালি উপজেলার হিন্দু সম্প্রদায় আক্রমণের শিকার হয়। জামাতি ইসলাম এবং বাংলাদেশ ইসলামী ছাত্রশিবিরের ক্যাডাররা অন্ততপক্ষে ১৫০ টি হিন্দু বাড়িঘরে অগ্নিসংযোগ করে।</t>
  </si>
  <si>
    <t>ঝিনাইদহে ধর্মীয় দাঙ্গায় ৪২ জন প্রাণ হারায়। পুলিশ পরিস্থিতি নিয়ন্ত্রণের চেষ্টা করলেও সহিংসতা বন্ধ হয়নি। সরকার শান্ত ও ধর্মীয় সহিষ্ণুতা বজায় রাখার আহ্বান জানায়। অনেক পরিবার নিরাপত্তার জন্য আশ্রয় খুঁজে নেয়।</t>
  </si>
  <si>
    <t>২০১৬ সালে বাংলাদেশের একটি খ্রিস্টান উপাসনালয়ে হামলা চালিয়ে জানালা ও দরজা ভাঙচুর করা হয় এবং কয়েকজন ধর্মপ্রাণ ব্যক্তি আহত হন।</t>
  </si>
  <si>
    <t>বাংলাদেশে ফের হিন্দু দেবতার প্রতিমা ভাঙচুরের অভিযোগ উঠল। সোমবার রাতে বাংলাদেশের ফরিদপুর উপজেলার তাম্বুলখানা বাজারে সার্বজনীন কালী ও দুর্গা মন্দিরে নির্মাণাধীন প্রতিমা ভাঙচুর করে দুষ্কৃতীরা।</t>
  </si>
  <si>
    <t>ইবাদতের মাধ্যমে আল্লাহর সন্তুষ্টি কাম্য, হতাশা কোনো মুমিনের জন্য গ্রহণযোগ্য নয়, কারণ তা জীবনের আনন্দ থেকে দূরে সরিয়ে দেয়।</t>
  </si>
  <si>
    <t>রোজ শুনি তাও মন ভরে না। মনটা ঠান্ডা হয়ে গেলো শুনেই। জানি না, জান্নাতে গেলে আমাদের অনুভূতি কেমন হবে। আল্লাহ আমাদের সবাইকে কবুল করুন, আমিন।</t>
  </si>
  <si>
    <t>আমি তীব্র নিন্দা জানাচ্ছি এবং সারা বিশ্ব মুসলিমদের প্রতি প্রতিবাদ করার আহ্বান জানাচ্ছি। আমিন।</t>
  </si>
  <si>
    <t>দেশের অধিকাংশ মুসলমান সুন্নি সম্প্রদায়ভুক্ত, তবে শহরে বসবাসকারী শিয়া সম্প্রদায়ও একটি উল্লেখযোগ্য অংশ।</t>
  </si>
  <si>
    <t>শবে কদরের নির্দিষ্ট দিন সম্পর্কে নিশ্চিত কিছু বলা যায় না, তবে হাদিস অনুযায়ী রমজানের শেষ দশকের বেজোড় রাতগুলোতে বিশেষ করে সাতাশ তারিখে এটি হওয়ার সম্ভাবনা বেশি বলে মনে করা হয়।</t>
  </si>
  <si>
    <t>মুশকিলের কথা হল আমরা মানুষ না হয়ে, হয়েছি হিন্দু মুসলমান খ্রিস্টান বৌদ্ধ ইত্যাদি, আর এই জন্যই যত সমস্যা। ধর্ম থাকুক ধর্মের জায়গায়।</t>
  </si>
  <si>
    <t>আল্লাহ ও তার রাসুল সাঃ কে কটুক্তি করে কেউ পার পাবে না,</t>
  </si>
  <si>
    <t>ছাত্র আন্দোলনের পর ধর্মীয় পরিচয়ে হামলা চালিয়ে আইনশৃঙ্খলা বাহিনীর ছত্রছায়ায় শতাধিক মানুষকে হত্যা করা হয় নানিয়াচর পরিণত হয় রক্তাক্ত বিভীষিকায়।</t>
  </si>
  <si>
    <t>গীতাতেই সকল মানুষকে একইভাবে দেখে এবং উপাসনার পথ যে একটাই, তাও স্পষ্টভাবে বলা হয়েছে।</t>
  </si>
  <si>
    <t>ধর্মীয় অবমাননার জঘন্য ঘটনার তীব্র নিন্দা জানাই। দোষীদের দৃষ্টান্তমূলক শাস্তি চাই, যাতে কেউ ভবিষ্যতে এমন সাহস না পায়।</t>
  </si>
  <si>
    <t>কিছু ধর্মান্ধ মানুষ বেহেশতের লোভ দেখিয়ে ১০টি বৌদ্ধগ্রামে আগুন দিয়েছে, লুট করেছে, হত্যা চালিয়েছে, এই নৃশংসতা ধর্মের নামে বর্বরতা ছাড়া আর কিছু নয়।</t>
  </si>
  <si>
    <t>নতুবা ধর্মের খোলসে ধর্মের সত্য পথ অনুসরণের সম্ভাবনাকে ভবিষ্যতেও উড়িয়ে দেওয়া যায়না।</t>
  </si>
  <si>
    <t>ইসলামের নবী মুহাম্মদের স্ত্রী এবং প্রথম ইসলাম ধর্ম গ্রহণকারী ব্যক্তি বিবি খাদিজা নিজে ব্যবসায়ী ছিলেন এবং তিনি মক্কার ব্যবসায়ী সমিতির প্রধান ছিলেন।</t>
  </si>
  <si>
    <t>হিংসা করা যাদের পিছু ছাড়েনা, তারা কোনো ধর্মের লোকনা, এরা সবসময় আবেগপ্রবণ, যুকতি র ধার ধারে না , সারা পৃথিবীর সতনিরীহ। মানুষের উগ্র পন্থীদের একজোট হয়ে রুখে দেয়া সম্ভব।</t>
  </si>
  <si>
    <t>গাইবান্ধায় ধর্মীয় বিবাদের জেরে সংঘর্ষে ৪২ জন প্রাণ হারায়। পুলিশ শান্তি প্রতিষ্ঠার জন্য কাজ করলেও সহিংসতা কমেনি। সরকার ধর্মীয় সহনশীলতা বজায় রাখতে জনগণকে শান্ত থাকার আহ্বান জানায়। অনেক সংখ্যালঘু পরিবার নিরাপত্তাহীনতার কারণে আশ্রয় খুঁজে পাড়ি দেয়।</t>
  </si>
  <si>
    <t>কুরআনে আল্লাহ পশু-পাখিদের প্রশংসা করেছেন, কারণ তারা তাঁর মহিমা ঘোষণা করে এবং মানুষের মতোই গুরুত্বপূর্ণ সৃষ্টি।</t>
  </si>
  <si>
    <t>পঞ্চগড়ে মন্দিরের প্রবেশপথে “অবাঞ্ছিত” লেখা ঝুলিয়ে দেয় দুর্বৃত্তরা, পরে সেখানে পাথর ছুঁড়ে হামলা চালায়।</t>
  </si>
  <si>
    <t>নবী-রাসুল বা ধর্মীয় ব্যক্তিবর্গ এবং যেকোনো ধর্মগ্রন্থ নিয়ে কেউ কটূক্তি করলে তার বিরুদ্ধে সাইবার নিরাপত্তা আইন-২০২৩ এর ধারা জামিন অযোগ্য করে সর্বোচ্চ শাস্তি মৃত্যুদণ্ড বা যাবজ্জীবন দণ্ডের বিধান নির্ধারণের বিষয়টি বিবেচনা করতে পারে সংসদ।</t>
  </si>
  <si>
    <t>এক ব্যাক্তি তার মা ও বোনকে নিয়ে কোন জরুরী কাজে যাচ্ছেন। অমনি তাদের ঘিরে হলি খেলা শুরু করে দিয়েছে একদল হিন্দু সাম্প্রদায়িক জঙ্গি।</t>
  </si>
  <si>
    <t>একজন সেনাকে “জয় বাংলা” বলতে বাধ্য করা হয়, বলার সঙ্গে সঙ্গেই তাকে গলায় রাইফেলের পিপা ঢুকিয়ে হত্যা করা হয়।</t>
  </si>
  <si>
    <t>২০২১ সালের জুলাইয়ে ধর্মীয় গোষ্ঠী এক মহিলা শিক্ষককে তার ধর্মীয় পরিচয়ের কারণে বরখাস্ত করে; প্রতিবাদে সংঘর্ষে ১২ জন নিহত হয়।</t>
  </si>
  <si>
    <t>আলহামদুলিল্লাহ, আলহামদুলিল্লাহ। লা ইলাহা ইল্লাল্লাহ, মোহাম্মাদুর রাসুলুল্লাহ। আসমান সৃষ্টি, জমিন সৃষ্টি করেছেন এক আল্লাহ। নেই কেহ, নেই আল্লাহ ছাড়া। লা ইলাহা ইল্লাল্লাহ, মোহাম্মাদুর রাসুলুল্লাহ।</t>
  </si>
  <si>
    <t>প্রতিবেদন বলা হয়েছে, দেশে গত ৪ আগস্ট থেকে হওয়া সাম্প্রদায়িক হামলার অভিযোগে ১১৫টি মামলা হয়েছে এবং অন্তত ১০০ জনকে গ্রেপ্তার করা হয়েছে।</t>
  </si>
  <si>
    <t>আল্লাহর নির্দেশনা অনুসরণ করলে আমাদের সৃষ্টির উদ্দেশ্য উপলব্ধি হয় এবং আমরা সঠিকভাবে জীবন কাটাতে পারি।</t>
  </si>
  <si>
    <t>তাদের সাথে কথা কাটাকাটি হয়। ওনারা নাকি একটা শেলফে পা দিয়েছিলেন। তো সেটা নিয়ে কেউ বলছেন কোরআন শরীফের ওপর পা পড়েছে- এরকম একটা গুজব হয়তো ছড়িয়ে পড়েছে।</t>
  </si>
  <si>
    <t>সে সুইসাইড করেছে তাই ওকে নিয়ে পোস্ট করা যাবেনা। মুসলিম হলে ও কখনো সুইসাইড করতোনা অন্য ধর্ম তাই করেছে।</t>
  </si>
  <si>
    <t>নিজেকে প্রকাশ করতে ভালবাসা। কৃপণতা। কথা ও কাজে অমিল। মুসলিম ভাইয়ের বিপদে খুশি হওয়া। কোন কাজ গুনাহের কিনা তা না দেখে নিজের অপছন্দের কিনা তা দেখা।</t>
  </si>
  <si>
    <t>হাইকোর্ট বলেছে, ধর্মীয় অনুভূতিতে আঘাত মানবতাবিরোধী অপরাধ। ধর্মীয় অবমাননায় বাড়ছে আত্মহত্যা ও হত্যাকাণ্ড। বাংলাদেশে এমন ঘটনার জন্য মৃত্যুদণ্ড হওয়া উচিত বলে আদালতের পর্যবেক্ষণে উঠে এসেছে।</t>
  </si>
  <si>
    <t>২০১৭ সালের ফেব্রুয়ারিতে এক গোষ্ঠী সংখ্যালঘুদের গ্রামের মন্দিরে হামলা চালিয়ে ২৬ জন হত্যা করে এবং শতাধিক ঘরবাড়ি ভাঙচুর করে।</t>
  </si>
  <si>
    <t>২০২১ সালের সেপ্টেম্বর মাসে এক খ্রিস্টান গির্জায় বোমা হামলায় ৪৩ জন নিহত হন; গির্জার পাশাপাশি আশপাশের এলাকাও ব্যাপক ক্ষতিগ্রস্ত হয়।</t>
  </si>
  <si>
    <t>ইসলাম এমন একটি শান্তির ধর্মে অন্য কাউকে আঘাত করে না, যারা কুরআনকে পুড়িয়েছে তাদের বিচার আল্লাহ করবে</t>
  </si>
  <si>
    <t>উপরে মেয়েটি বলেছেই যে সমাজ সে ধর্ষিতা হয়েছে জানলে তার বাবা মা পরিবারের সন্মান শেষ করে দেবে তাই সে আত্নহত্যা করেছে।সমাজ সহানুভুতিশীল হলে অবশ্যই মেয়েটি আত্নহত্যা করতো না বরং পুলিশের কাছে গিয়ে অপরাধীকে গ্রেপ্তারের কথা বলতো।</t>
  </si>
  <si>
    <t>আল্লাহ মুসলমানদের আলাদা কিবলা দিয়েছেন এবং নবী তা মেনে নিয়েছেন, তাই আল আকসা নিয়ে অতিরিক্ত উত্তেজনা এড়ানো উচিত।</t>
  </si>
  <si>
    <t>১০ মে ২০২৩ সুনামগঞ্জের জগন্নাথপুরে শিবমন্দিরে হামলা করে শিবলিঙ্গ ভেঙে পাশের খালে ফেলে দেয়া হয়</t>
  </si>
  <si>
    <t>আমাদের জাতীয় কবি কাজী নজরুল ইসলাম বলেছেন, ‘রাসুলের অপমানে যদি কাঁদে না তোর মন, মুসলিম নও মুনাফিক তুই রাসুলের দুশমন’। এ দেশের কোটি কোটি মুসলমানের হৃদয়ে রক্তক্ষরণ হচ্ছে। সমাজে এবং সামাজিক যোগাযোগ মাধ্যমে তার প্রতিক্রিয়া দেখা যাচ্ছে।</t>
  </si>
  <si>
    <t>ইহুদীরা ইসলাম ধর্মের প্রচারক মুহাম্মদ (সঃ)কে নবী মানেন না। ওনাকে ভুয়া নবী মনে করেন যা মুসলিমদের অনেক কষ্ট দেয়। ইহুদীরা ইসলামকে আরবদের ধর্ম মনে করেন।</t>
  </si>
  <si>
    <t>আল্লাহর আলো এসেছে, মিথ্যার অন্ধকার সরে গেছে। সত্য চিরকাল টিকে থাকে, মিথ্যা ধ্বংস হয়। এই বিশ্বাসেই আমরা শান্তি খুঁজি।</t>
  </si>
  <si>
    <t>১৯৯২ সালে বাবরি মসজিদ ধ্বংসের পর বাংলাদেশেও সাম্প্রদায়িক উত্তেজনা বৃদ্ধি পায়।</t>
  </si>
  <si>
    <t>ঝিনাইদহ দাঙ্গার সময় নারোদা পাটিয়াতে সংঘবদ্ধ হামলায় প্রায় ৯৭ জন মুসলিমকে হত্যা করা হয়।</t>
  </si>
  <si>
    <t>রংপুরে ধর্মীয় দাঙ্গায় ৪২ জন প্রাণ হারায়। পুলিশ পরিস্থিতি নিয়ন্ত্রণের চেষ্টা করে, সরকার শান্তি ও ধর্মীয় দায়িত্ববোধ বজায় রাখার আহ্বান জানায়। বহু পরিবার নিরাপত্তার জন্য আশ্রয় খুঁজে নেয়।</t>
  </si>
  <si>
    <t>পঞ্চগড়ে ধর্মীয় গোষ্ঠীগুলোর মধ্যে সংঘর্ষে ৪১ জন নিহত হন। পুলিশ সহিংসতা দমনে ব্যর্থ হয়, সরকার শান্ত থাকার নির্দেশ দেয়। বহু পরিবার নিরাপত্তার কারণে গ্রাম ছেড়ে চলে যায়।</t>
  </si>
  <si>
    <t>আমরা কাউকে বা কোনো ধর্ম কে অসম্মান করিনা কিন্তু বার বার কেন আমার ধর্ম কে অসম্মান করা হয়, আমি এর তীব্র নিন্দা জানাচ্ছি, হে আল্লাহ তাদের কে ধ্বংস করে দাও যারা পুর্বে আমার ধর্ম কে অসম্মান করেছে তাদের মত নিশ্চিহ্ন করে দাও ।</t>
  </si>
  <si>
    <t>গত মাসের ২৮ জুলাই ঈদুল আজহার দিন স্টকহোমের কেন্দ্রীয় মসজিদের বাইরে সালমান মোমিকো নামের এক ব্যক্তি কোরআনে আগুন ধরিয়ে দেন।</t>
  </si>
  <si>
    <t>এরাই দাজ্জালের ফেতনার একটা নিদর্শন। দাজ্জালও ওর মতো রুটি রুজি দিয়ে কিছু মানুষের মন জয় করে তাদের ঈমানহারা করবে।</t>
  </si>
  <si>
    <t>এক ধর্মীয় সম্প্রদায় অন্য সম্প্রদায়ের কবরস্থান ধ্বংস করে, মৃতদেহ উচ্ছেদ করে ধর্মীয় বিভেদে ঘৃণা ছড়ায়; সংঘর্ষে ২১ জন নিহত হন।</t>
  </si>
  <si>
    <t>উত্তম বড়ুয়া নামে বৌদ্ধ সম্প্রদায়ের এক যুবকের ফেসবুকে কোরান অবমাননার ছবি কেউ ট্যাগ করে দেয়। এর জের ধরে রামুতে বৌদ্ধ স্থাপনা ও বৌদ্ধ সম্প্রদায়ের মানুষের বাড়িঘরে হামলা করা হয়। দশটিরও বেশি বৌদ্ধ বিহার ও প্রায় ২৫টি বাড়িতে হামলা হয়েছিলো।</t>
  </si>
  <si>
    <t>হায়রে ধর্মান্ধ, মুসলিম গৌতম বৌদ্ধ বলে গেছেন যে আর্য মিয়া বৌদ্ধ কথা আর তিনি নিজের মতো বানিয়ে গেলেন জাকির সাহেব।</t>
  </si>
  <si>
    <t>ও হিন্দু ই নয় , কারণ ,কোনো ধর্ম ই অ মানুষিকতা শেখায়, না । এখানে সে রাম ভগবান এর জয়ধ্বনি করলো মানে, সে রাম ভগবান কে অপমান করল , কারণ ঈশ্বর আল্লাহ সব ই এক।</t>
  </si>
  <si>
    <t>আলফাডাঙ্গায় এক রাতে ৩ মন্দিরের ১০টি প্রতিমা ভাঙচুর, প্রতিবাদে মানববন্ধন</t>
  </si>
  <si>
    <t>ইফতার বা নামাজের মতো যদি ঘুষ, সুদ ও অশুভ কাজ বর্জনের প্রতিও আমরা সচেতনভাবে পোস্ট করতাম, সমাজে ইতিবাচক প্রভাব পড়ত।</t>
  </si>
  <si>
    <t>বিবৃতিতে বলা হয়েছে, নাইজেরিয়ার দক্ষিণাঞ্চলের ডেল্টা রাজ্যে স্থানীয় একটি সম্প্রদায়ের সহিংসতা দমন করতে গিয়ে তাদের হামলার শিকার হয় সেনা সদস্যরা। ওই রাজ্যের সাম্প্রদায়িক সহিংসতায় জড়িত কয়েকজন তরুণ সেনাবাহিনীর সদস্যদের ঘিরে তাদের ওপর হামলা চালায়।</t>
  </si>
  <si>
    <t>বস্তুত পরকালীন দীর্ঘমেয়াদি কঠোর শাস্তির তুলনায় পার্থিব জীবনের দুঃখ-ক্লেশ অতি নগণ্য।</t>
  </si>
  <si>
    <t>হে আল্লাহ তুমি এদের দৃষ্টান্ত মুলক শাস্তি দাও।এদের কে তুমি ধংস করে দাও।তুমি বোজিয়ে দাও তোমার খেয়ে তোমার পরে তোমার সাথে বেয়াদবি করার কি পরিণতি হতে পারে।তুমিই আমাদের জন্য যতেষ্ট।</t>
  </si>
  <si>
    <t>প্রধানমন্ত্রী শেখ হাসিনা বাংলাদেশকে একটি অসম্প্রদায়িক রাষ্ট্র হিসেবে উল্লেখ করে এদেশে কাউকে ধর্ম নিয়ে বাড়াবাড়ি না করার আহ্বান জানিয়ে বলেছেন, তার ছোট ভাই রাসেলের মতো আর কোন শিশুকে যাতে হত্যার শিকার হতে না হয়, সেজন্য তাঁর সরকারের প্রচেষ্টা অব্যাহত থাকবে।</t>
  </si>
  <si>
    <t>দুঃখজনকভাবে এই প্রবণতা অব্যাহত রয়েছে; বাংলাদেশে ইসলামপন্থী দলগুলি, বাঙালি হিন্দু গণহত্যার 50 তম বার্ষিকীর কাছাকাছি, 80 টি বাড়ি সহ বেশ কয়েকটি হিন্দু মন্দিরে আগুন লাগিয়ে এবং ভাংচুর করে।</t>
  </si>
  <si>
    <t>আমি মাঝে মাঝে অবাক হয়ে যাই এটা মুসলিম মেজোরিটির বাংলাদেশ, নাকি পার্শ্ববর্তী দেশের মুসলিম দুর্দশার স্থান!</t>
  </si>
  <si>
    <t>এটা হচ্ছে বনু দামরার জন্য আল্লাহর রাসুল মুহাম্মাদ এর দলিল। এই গোত্রের লোকেরা তাদের জীবন ও সম্পদের নিরাপত্তা লাভ করবে। যতক্ষণ না তারা আল্লাহর দ্বীনের বিরুদ্ধে বিরোধী কাজে লিপ্ত না হয় ততক্ষণ তারা শান্তিপূর্ণভাবে তাদের জীবন অতিবাহিত করবে।</t>
  </si>
  <si>
    <t>স্থানীয় বৌদ্ধদের সমর্থন করেছিলেন বলেই মুসলিমরা এত সহজে বাংলা বিজয় করতে পেরেছিলেন। ফলে বৌদ্ধরা মুসলিমদের সংস্পর্শে আসতে থাকেন এবং ইসলাম দ্বারা অনুপ্রানিত হয়ে ইসলাম গ্রহণ করতে থাকেন।</t>
  </si>
  <si>
    <t>পবিত্র বাইবেল আমাদের শেখায়, ভালোবাসাই ঈশ্বরের প্রকৃত পরিচয়।</t>
  </si>
  <si>
    <t>দিন দিন একটা অসুস্থ জেনারেশন তৈরী হচ্ছে। এরা সেহেরি নিয়ে ফান পোস্ট করে, সেহেরি করছে ছবি তুলে আগে ফেসবুকে পোস্ট করবে, ইফতার করেছে আগে ফেসবুকে পোস্ট করবে</t>
  </si>
  <si>
    <t>গত পাঁচ বছরের মধ্যে চলতি বছরেই সবচেয়ে বেশি সংখ্যালঘু নির্যাতন হয়েছে বলে দাবি করেছে জাতীয় হিন্দু মহাজোট নামে একটি সংগঠন। সংবাদ সম্মেলন করে সংগঠনটির পক্ষ থেকে বলা হয়েছে, চলতি বছর হত্যা, হামলা, জমি দখল, অপহরণ, ধর্মান্তর, ধর্ষণ, উচ্ছেদ, দেশত্যাগে বাধ্য করা সহ ৪০ হাজার ৭০৩টি ঘটনা ঘটেছে।</t>
  </si>
  <si>
    <t>মুসলিম নিধনের সাথে তুলনা করা হয় তাহলে তা হবে পর্বতের সাথে মুষিকের তুলনা। আর এই দুই ঘটনায় আমাদের মিডিয়ার যে প্রতিক্রিয়া, তা যদি তুলনা করা হয় তাহলে সেটা হবে মুষিকের সাথে পর্বতের তুলনা। মুসলিম-প্রসঙ্গে আমাদের শীতল ও নির্লিপ্ত মিডিয়াই যখন সংখ্যালঘু-প্রসঙ্গে অতিমাত্রায় সংবেদনশীল হয়ে ওঠে তখন তা আর শ্রদ্ধার উদ্রেক করে না। এই মওসুমী সংবেদনও অনেক ক্ষেত্রেই ভাঁড়ামি ও চাটুকারিতার সীমাকেও অতিক্রম করে যায়।</t>
  </si>
  <si>
    <t>করোনাভাইরাসের এই সময়ে মুসলমানদের জন্য মসজিদে নামাজের নিয়ম কী হবে, ইসলাম কী বলে এই পরিস্থিতিতে জামাতে নামাজ আদায় সম্পর্কে?</t>
  </si>
  <si>
    <t>ব্রাদ্ধ হরিত ঘোষণা করেন যে বৌদ্ধ মন্দিরে প্রবেশ করাই পাপ, যা কেবল আচারিক স্নানের মাধ্যমে স্খলিত হতে পারে। এমনকি সাধারণ জনগণের জন্যে লেখা নাটিকা কিংবা পুথিগুলোতেও ব্রাহ্মণ পুরোহিতেরা বুদ্ধের বিরুদ্ধে ঘৃণার অর্গল ছড়িয়েছেন।</t>
  </si>
  <si>
    <t>দুর্গাপূজার প্রস্তুতিতে ১১টি জেলায় ১৩টি মন্দিরে প্রতিমা ভাঙচুর করা হয়েছে বলে অভিযোগ তুলে উদ্বেগ প্রকাশ করেছে পূজা উদযাপন পরিষদ।</t>
  </si>
  <si>
    <t>নড়াইলে ধর্মীয় দ্বন্দ্বে সংখ্যালঘু সম্প্রদায়ের ওপর হামলায় ৩৬ জন নিহত হন। স্থানীয় প্রশাসন পরিস্থিতি নিয়ন্ত্রণে আনতে ব্যর্থ হয় এবং পরিস্থিতি তীব্র হয়ে ওঠে।</t>
  </si>
  <si>
    <t>তারাবির নামাজ পড়ায় হোস্টেলের রুমে ঢুকে পবিত্র কোরআন ছিঁড়ে ফেলা হয়েছে এবং মুসলিম শিক্ষার্থীদের ওপর হামলা চালিয়ে জিনিসপত্র ভাঙচুর করা হয়েছে, এটা ধর্মীয় অবমাননার শামিল।</t>
  </si>
  <si>
    <t>মুন্সিগঞ্জে সন্ধ্যার পর একদল লোক হিন্দু পরিবারের বাড়িতে ঢুকে ধর্মীয় ছবির উপর লাথি মারে ও গীতা পুড়িয়ে ফেলে।</t>
  </si>
  <si>
    <t>সাম্প্রতিক ঘটনায় মুসলমানদের সঙ্গে যেভাবে আচরণ করা হয়েছে, সেটা ঘৃণ্য মানসিকতার নগ্ন প্রকাশ।</t>
  </si>
  <si>
    <t>সেন রাজাদের অত্যাচারে বৌদ্ধদের একটা অংশ নেপালে গিয়ে আশ্রয় গ্রহন করেন। যে কারণে চর্যাপদ নেপাল থেকে আবিস্কৃত হয়েছিল।</t>
  </si>
  <si>
    <t>কিছু পণ্য আছে ৯০% মানুষের হাতের নাগালে। সেসব প্রচার করোন। আন্দোলন অনেকটা সফল আরো সফল হবে।ইনশাআল্লাহ</t>
  </si>
  <si>
    <t>কুমিল্লার এক স্কুলে ধর্মীয় সংবেদনশীল বই পড়ানো হয় বলে গুজব ছড়িয়ে বিদ্যালয় ঘেরাও করে বিক্ষোভ করে জনতা।</t>
  </si>
  <si>
    <t>ধর্মের নামে ভেদাভেদ নয়, বরং ঐক্যের বার্তা নিয়ে এগিয়ে চলা উচিত।</t>
  </si>
  <si>
    <t>বন্দি হিন্দুদের জোড়া বেঁধে একটি লাইনে দাঁড় করিয়েছিল। হুইসেলের শব্দের সাথে সাথে তাদের গুলি করে রাজাকাররা। ৪২ জন হিন্দু মারা গিয়েছিলেন এবং বাকিরা আহত অবস্থায় বেঁচে ছিলেন।</t>
  </si>
  <si>
    <t>১৯ জুন ২০২৪ বরিশালের গৌরনদীতে একটি কালীমন্দিরের ভিতর ঢুকে প্রতিমার গলার মালা ও অস্ত্র চুরি করে</t>
  </si>
  <si>
    <t>মুসলিম ধর্মান্ধরা ১৩ই অক্টোবর নোয়াখালী জেলার হাতিয়ায় শংকর মার্কেটে আশুতোষ ডাক্তার বাড়ির পূজামণ্ডপ, হাতিয়া পৌরসভা কালী মন্দিরে আক্রমণ করে</t>
  </si>
  <si>
    <t>ঝিনাইদহে কিছু মুসলিম কপটিক খ্রিস্টানদের একটি বাসে গুলি চালায় যা দেশটিতে সংখ্যালঘু খ্রিস্টানদের বিরুদ্ধে সহিংসতার অংশ।</t>
  </si>
  <si>
    <t>নরসিংদীর একটি গির্জার গেইট ভেঙে ঢুকে ভেতরের পবিত্র বইগুলো ছিঁড়ে ফেলা হয়, যা খ্রিস্টান সম্প্রদায়কে দুঃখিত করে।</t>
  </si>
  <si>
    <t>বাংলাদেশে খ্রিষ্টমণ্ডলীর ইতিহাস' বইয়ে ফাদার মাইকেল ডি'রোজারিও লিখেছেন, ফাদার বার্বিয়ার ১৭১৫ সালে বাংলাদেশের খ্রিস্টানদের সম্পর্কে যে রিপোর্ট দিয়েছিলেন, সেখানে তিনি উল্লেখ করেছেন, বাংলাদেশে তিন ধরনের খ্রিস্টান ছিল:</t>
  </si>
  <si>
    <t>এক নারী তার ধর্মীয় বিশ্বাস পরিবর্তন করায় তাকে জীবন্ত কবর দেয়া হয়, প্রতিবাদকারীদের উপর হামলায় ১১ জন নিহত হন।</t>
  </si>
  <si>
    <t>এক শ্বেতাঙ্গ শ্রেষ্ঠত্ববাদী বন্দুকধারী একটি ব্ল্যাক চার্চে গুলি চালায় , যা জাতিগত ও ধর্মীয় বিদ্বেষের নজির।</t>
  </si>
  <si>
    <t>বৌদ্ধদের অনেক পুরাতন ধর্মীয় রীতিনীতি এখন আর কাজ করে না, তারা নতুন ধর্মের প্রতি বিদ্বেষ পোষণ করে সমাজে অশান্তি সৃষ্টি করছে।</t>
  </si>
  <si>
    <t>ধর্মের নামে মানুষ হত্যা কোন যুক্তিতে মেনে নেওয়া যায় না।। এটা খুবই দুঃখ জনক।।</t>
  </si>
  <si>
    <t>ধর্মবাজ ও ধর্মব্যবসায়ী আলাদা, প্রকৃত ধার্মিক দেশে খুব কমই আছে।</t>
  </si>
  <si>
    <t>৬ আগস্ট, মোংলায় একটি মন্দিরের সামনের মাঠে ফুটবল খেলাকে কেন্দ্র করে প্রতিমা ভাংচুরের ঘটনা ঘটে।</t>
  </si>
  <si>
    <t>এখানে হিন্দু মুসলিম তুলনা কি আছে সেটা এ বুঝলাম না। এবং আমার ফ্রেন্ড লিস্টের মানুষদের জন্য ধন্যবাদ, এতো সুন্দর সুন্দর ক্যাপশন দিয়ে পোস্ট শেয়ার করার জন্য অর্থাৎ হিন্দুদের অপমান করার জন্য</t>
  </si>
  <si>
    <t>তখন ইফতার, জুম্মা, ঈদের নামাজকে অপ্রয়োজনীয় বলা হবে, অপ্রয়োজনীয় মসজিদ দিয়ে এতটা দামি জায়গা দখল করে আছে— এটা সেটা অজুহাত বের করে মসজিদগুলো ভাঙ্গা হবে।</t>
  </si>
  <si>
    <t>‘এটি একটি নারকীয় ঘটনা। দেশের এই সময়ে এই ঘটনা লজ্জার। দেশের হিন্দু সম্প্রদায় মৌলবাদ দ্বারা বিভিন্নভাবে অত্যাচারিত হচ্ছে। দেয়ালে পিঠ ঠেকে গেছে আমাদের।’</t>
  </si>
  <si>
    <t>নবুয়াতপ্রাপ্তির সূচনাতেই সংগ্রামী জীবন শুরু হয়। একে একে প্রাচীরসম বাধার সম্মুখীন হন। ভোগ করেন কঠিন যন্ত্রণা। কিন্তু তিনি দমে যাননি। ছেড়ে দেননি বাতিল শক্তিকে। বুকে ছিল দুর্বার সাহস, অটল ছিল পদযুগল। তাঁর সমরকৌশল, আর বীরত্ব দিয়ে শত্রুদের কঠিনভাবে প্রতিহত করেছেন।</t>
  </si>
  <si>
    <t>মুসলিম দাঙ্গাকারিদের হাতে নোয়াখালীর হিন্দুদের অসহায়ত্বের সংবাদ জানার পরে হিন্দু মহাসভার সাধারণ সম্পাদক আশুতোষ লাহিড়ী দ্রুত চাঁদপুরে চলে আসেন।</t>
  </si>
  <si>
    <t>গর বেলতলী এবং হাজারীবাগে কমপক্ষে ১০০ টি হিন্দু বাড়ি-ঘর,ব্যবসাপ্রতিষ্ঠান লুটপাট করে স্থানীয় মুসলিমরা এবং এক ডজনেরও বেশি হিন্দু মন্দির ভাংচুর ও অগ্নিসংযোগ করে তারা।</t>
  </si>
  <si>
    <t>‘আল্লাহ’ শব্দের আঞ্চলিক রূপগুলো পৌত্তলিক ও খ্রিস্টান উভয়ের ইসলাম-পূর্ব শিলালিপিতে পাওয়া যায়। ইসলাম-পূর্ব বহুঈশ্বরবাদী ধর্মগুলোতে আল্লাহ সম্পর্কে বিভিন্ন তত্ত্ব প্রস্তাব করা হয়েছে।</t>
  </si>
  <si>
    <t>৫ জানুয়ারি ২০২৫ টাঙ্গাইলের মির্জাপুরে মনসা মন্দিরে ঢুকে ধাতব প্রতিমাটি খুলে নিয়ে যায় এবং বেদিতে মল-মূত্র ত্যাগ করে</t>
  </si>
  <si>
    <t>আজকের তরুণদের অধিকাংশই ইসলাম ধ্বংসের মিশনে নেমেছে হারামকে স্টাইল বানিয়ে আল্লাহর স্পষ্ট নিষেধকে উপহাস করছে। এই নাস্তিকপন্থী পোলাপানরাই ফিতনার শিকড়।</t>
  </si>
  <si>
    <t>আল্লাহ আমাদের সকলকে হেদায়াত দান করুন।</t>
  </si>
  <si>
    <t>মোহাম্মদ ইসলাম, আকাশ সাহা নামের এক ফেইক ফেইসবুক আইডি ওপেন করে ইসলাম ধর্ম নিয়ে বাজে মন্তব্য করে। সেই ঘটনায় নড়াইলের হিন্দুদের বাড়িঘর লণ্ডভণ্ড।৷</t>
  </si>
  <si>
    <t>এক ধর্মীয় সম্প্রদায়ের ধর্মীয় উৎসবে বোমা বিস্ফোরণে ৩১ জন নিহত হন।</t>
  </si>
  <si>
    <t>কিছু মুসলিম আলেম মনে করেন, “আল্লাহ” শব্দটি কুরআনের শব্দ হওয়ায় এটি ব্যবহারে প্রতি হরফে ১০ করে মোট ৪০ নেকি পাওয়া যায়, যা “খোদা” বা অন্যান্য শব্দে পাওয়া যায় না।</t>
  </si>
  <si>
    <t>২০২১ সালের ১৮ অক্টোবর, রংপুরের পীরগঞ্জে হিন্দুদের উপর হামলা চালানো হয়, বহু বাড়িঘর পুড়িয়ে দেয়া হয়, অন্তত ২০ জন নিহত হন।</t>
  </si>
  <si>
    <t>১৫৬১ সালে, তুলুজে প্রোটেস্ট্যান্ট হুগেনটরা রাস্তায় মিছিল করেছিল। পরে ক্যাথলিকরা তাদের কয়েকজন নেতাকে ধরিয়ে মারধর ও পুড়িয়ে মারা হয়।</t>
  </si>
  <si>
    <t>নোয়াখালী বিভাজনের সময় ধর্মীয় দাঙ্গার ফলে লক্ষাধিক মানুষ প্রাণ হারায়, যা সাম্প্রদায়িক বিভেদের এক নির্মম উদাহরণ।</t>
  </si>
  <si>
    <t>২০১৩ সালের মে মাসে এক হিন্দু পুজোর সময় সংঘর্ষ বাঁধে, প্রতিপক্ষ গোষ্ঠী হামলা চালিয়ে অন্তত ১৯ জন নিহত করে।</t>
  </si>
  <si>
    <t>অসম্ভব বলে কিছুই আল্লাহ পাকের কাছে নেই।যত চাওয়া হয়,আল্লাহ ততই দিতে থাকেন তার অফুরন্ত নিয়ামাহ।</t>
  </si>
  <si>
    <t>হিন্দুধর্ম বাংলাদেশের দ্বিতীয় বৃহত্তম ধর্ম। যেখানে ১৬.৫১ কোটি লোকের মধ্যে প্রায় ১.৩১কোটি লোক নিজেদেরকে হিন্দু হিসাবে পরিচয় দেয়</t>
  </si>
  <si>
    <t>বিভিন্ন সম্প্রদায়ের মধ্যে বিদ্যমান ধর্মীয় উত্তেজনা সহিংস রূপ ধারণ করলে বহু ব্যক্তি নির্মম হত্যার শিকার হয়েছে।</t>
  </si>
  <si>
    <t>লালমনিরহাটের পাটগ্রামে ধর্মীয় বিদ্বেষের প্ররোচনায় শত শত মানুষ এক ব্যক্তিকে পিটিয়ে হত্যা করে এবং তার মৃতদেহ আগুন দিয়ে পুড়িয়ে দেয়।</t>
  </si>
  <si>
    <t>কোন ধর্ম নিয়ে বাড়াবাড়ি করা উচিত নয়। এটি এড়িয়ে চলা সবার জন্য মঙ্গলজনক। তার ভুল বুঝিয়ে দিয়ে তাকে সঠিক পথ দেখানো উচিত, যাতে অন্যরাও শিখতে পারে।</t>
  </si>
  <si>
    <t>কিন্তু কিছু কুচক্রী মহল হিন্দু-মুসলিম দাঙ্গা বাধিয়েছে রাজনৈতিক ফায়দা হাসিলের জন্য এটাকে মন্দিরের জমিতে মসজিদে নির্মাণ করা হচ্ছে বলে প্রচার করছে।</t>
  </si>
  <si>
    <t>একটি ভিডিও আমার মনকে ভেঙে দিয়েছে, আল্লাহর কসম, এর চেয়ে সুন্দর কিছু হতে পারে না।</t>
  </si>
  <si>
    <t>রামুর কায়দাতেই হামলাটি হয়, তবে এখানে আক্রান্ত হয় হিন্দু সম্প্রদায়ের মানুষ। অভিযোগও সেই পুরনো—ফেসবুকে ইসলাম বিদ্বেষী ছবি।</t>
  </si>
  <si>
    <t>ধর্মীয় গোষ্ঠী শ্রমিকদের বঞ্চনা করে তাদের বিরুদ্ধে সহিংসতা চালায়, ১২ জন নিহত হয়।</t>
  </si>
  <si>
    <t>যারা অসাম্প্রদায়িকতার নামে ধর্মহীন করার নোংরা খেলায় মেতে উঠেছে সময় থাকতে তাদের প্রতিহত করতে হবে।</t>
  </si>
  <si>
    <t>১৭ মার্চ পুরান ঢাকার ওয়ারীতে হোলি উৎসব চলাকালে রাধাকান্ত জিউ ইসকন মন্দিরে সাম্প্রদায়িক সহিংসতা ঘটে।</t>
  </si>
  <si>
    <t>দুঃখজনকভাবে এই দেশে ধর্মীয় বিদ্বেষমূলক হামলার ঘটনা গণমাধ্যমে উপেক্ষিত থেকে যায়, যেন ধর্মীয় সহিংসতা এখন সাধারণ বিষয় হয়ে দাঁড়িয়েছে।</t>
  </si>
  <si>
    <t>হিন্দু ও খ্রিস্টানদের একত্রিত হওয়ার পর শত শত অমুসলিম পুরুষকে থানার প্রান্তে হত্যা করা হয়।[২] ও.সি. তিনি নিজেই হিন্দু মহিলাদের সিঁদুর ও শাঁখা (শঙ্খের চুড়ি) ছিনিয়ে নিয়েছিলেন এবং তাদের কলমা পাঠ করতে বাধ্য করেছিলেন। পরে তিনি দলের নেতাদের মধ্যে মহিলাদের বিতরণ করেন।</t>
  </si>
  <si>
    <t>কুষ্টিয়ায় ২২শে সেপ্টেম্বরের শুরুতে দেবী মূর্তির ব্যাপক ভাঙচুর শুরু হয়, এরপর জয়পুরহাট, চট্টগ্রাম এবং এমনকি রাজধানী ঢাকায় বারবার হামলা হয়। ১২ অক্টোবর কুমিল্লায় পবিত্র কোরআনের অবমাননার অভিযোগের ভিত্তিতে একটি পূজা মণ্ডপে সামাজিক মাধ্যমে একটি ভিডিও প্রচারের মাধ্যমে চরমপন্থী গোষ্ঠী এবং তাদের সমর্থকরা হিন্দু মন্দির, বাড়িঘরে এই আক্রমণ চালানো হয়।</t>
  </si>
  <si>
    <t>গোলাম সরোয়ার হুসেনির বক্তব্যের পর রামগঞ্জ পুলিশ স্টেশনের আওতাধীন বাজারের হিন্দু দোকান মুসলিমরা লুট করে। মুসলিমরা নোয়াখালী বারের সভাপতি এবং হিন্দু মহাসভার নেতা সুরেন্দ্রনাথ বসু এবং রাজন্দ্রলাল চৌধুরীর বসত-বাড়ি আক্রমণ করে।</t>
  </si>
  <si>
    <t>সাবধান ধর্ম নিয়ে ও ইফতার নিয়ে বাজে মন্তব্য করবেন না।</t>
  </si>
  <si>
    <t>আল্লাহ পাক রাব্বুল আলামিন যেন আমাদের কে মাফ করে, আমার প্রিয় হাবিব কারীম (সা :) উসিলায় জান্নাতুল ফেরদৌসের উচ্চ মাকাম দান করেন আমিন</t>
  </si>
  <si>
    <t>বড়দিনের ছুটিতে কুই সমাজ ও ভিএইচপি কর্মীরা খ্রিস্টান ও তাদের প্রতিষ্ঠানগুলোর ওপর হামলা চালায়। স্বামী লক্ষ্মণানন্দ হত্যার পর ২০০৮ সালের আগস্টে তা গণহত্যায় রূপ নেয়।</t>
  </si>
  <si>
    <t>এক ধর্মীয় সম্প্রদায়ের লোকদের রাষ্ট্রীয়ভাবে নাগরিকত্ব বাতিল করে, যার ফলে তারা নিঃস্ব ও উদ্বাস্তু হয়ে পড়ে; দারিদ্র্য ও অসুস্থতায় ৫৭ জন মারা যান।</t>
  </si>
  <si>
    <t>ফরিদপুরে ধর্মীয় অনুষ্ঠানের আগের দিন মন্দিরে আগুন ধরিয়ে মূর্তি সহ সমস্ত পুজার সামগ্রী ধ্বংস করা হয়।</t>
  </si>
  <si>
    <t>আমরা হিন্দু,মুসলিম, বৌদ্ধ, খ্রিস্টান ও অন্যান্য ধর্মের অনুসারীরা সবাই সবার ধর্ম নিয়ে সাম্প্রদায়িক সম্প্রীতি বজায় রেখে কাঁধে কাঁধ মিলিয়ে সুখে শান্তিতে বাঁচতে চাই এবং আমাদের সোনার বাংলা কে সামনে এগিয়ে নিতে চাই ।</t>
  </si>
  <si>
    <t>ধিক্কার জানাই আমাদের পবিত্র কোরআন কে অপমাননার জন্যে । ধন্যবাদ এরদোয়ান কে</t>
  </si>
  <si>
    <t>প্রতিটি ধর্মেই শিশুদের স্নেহ ও বৃদ্ধদের সম্মান করার কথা বলা হয়েছে।</t>
  </si>
  <si>
    <t>আওয়ামী লীগের চাল তারা ধর্মীয় উস্কানি দিচ্ছে যেন কোন দাঙ্গার সৃষ্টি হয় আর এসবের দোহাই দিয়ে আস্তে করে রাষ্ট্রধর্ম ইসলাম বাদ দেয়ার চেষ্টা করবে তাই মুসলমান সতর্ক থাকতে হবে</t>
  </si>
  <si>
    <t>১২ই ফেব্রুয়ারি চট্টগ্রামে হিন্দু গণহত্যা শুরু হয়। হিন্দুপাড়াগুলো দাউদাউ করে জ্বলছিল। চাটগাঁ, নোয়াপাড়া, চৌধুরী হাট, পটিয়া, বোয়ালখালী, সীতাকুন্ডয় হিন্দুদের কচুকাটা করা হয়।</t>
  </si>
  <si>
    <t>প্রশাসনের নজরদারী থাকা সত্ত্বেও মসজিদের মাইক ব্যবহার করে কেমন করে উগ্রবাদী গোষ্ঠী একত্রিত হয়ে এরূপ মধ্যযুগীয় তাণ্ডব চালাতে পারল।[</t>
  </si>
  <si>
    <t>২০২১ সালের জানুয়ারিতে এক গোষ্ঠী ধর্মীয় বিদ্বেষের কারণে এক সাংবাদিককে হত্যা করা হয় এবং বিক্ষোভ চলাকালীন ১০ জন নিহত হয়।</t>
  </si>
  <si>
    <t>২০১৯ সালের আগস্টে এক খ্রিস্টান সম্প্রদায়ের শিক্ষাপ্রতিষ্ঠানে ধর্মীয় বিদ্বেষের কারণে দাঙ্গায় ৩১ জন নিহত হন।</t>
  </si>
  <si>
    <t>আসুন নিজে ধর্মীয় অনুশাসন মেনে চলার পাশাপাশি অন্যকেও আহ্বান জানাই প্রকৃতির সঙ্গে সামঞ্জস্যপূর্ণ এ শাশ্বত সত্যের ধর্মে।</t>
  </si>
  <si>
    <t>পিরোজপুরে হিন্দু ও মুসলিম সম্প্রদায়ের মধ্যে দীর্ঘদিন ধরে চলা বিরোধ সংঘর্ষে রূপ নেয়। সংঘর্ষে অন্তত ৩৭ জন প্রাণ হারায় এবং বহু বাড়িঘর পুড়িয়ে দেওয়া হয়।</t>
  </si>
  <si>
    <t>এমন অন্যায় কাজ করছে তার সাথে সুর মিলিয়ে যে পুরুষদের সাফাই দিচ্ছে, এরা নিসন্দেহে ধর্মবিদ্বেষী।</t>
  </si>
  <si>
    <t>তুমি যদি চাও আল্লাহকে কিছু বলবা তাহলে দোয়া করো। তুমি যদি চাও আল্লাহ তোমাকে কিছু বলুক তাহলে কোরআন পড়ো।</t>
  </si>
  <si>
    <t>আক্রান্ত শ্যামল কান্তি ভক্ত ধর্ম নিয়ে বাড়াবাড়ি এবং রাজনীতির অবসান চান।</t>
  </si>
  <si>
    <t>মূল ধারার হিন্দু দর্শনের মধ্যে ছয়টি দার্শনিক শাখা বিদ্যমান, যাকে একত্রে ষড়দর্শন বলা হয়। এগুলো হল: সাংখ্য, যোগ, ন্যায়, বৈশেষিক, মীমাংসা ও বেদান্ত।[১] ষড়দর্শন বেদের প্রামাণ্যতা স্বীকার করে বলে একে আস্তিক দর্শনও বলা হয়।[</t>
  </si>
  <si>
    <t>মানবাধিকার কর্মীরা বলেছেন, এর আগেও বিভিন্ন সময় ধর্ম অবমাননার গুজব ছড়িয়ে আলোচিত সহিংস ঘটনাগুলোর বিচার হয়নি। সেজন্য এখন সরকারের ঘোষণা কতটা কার্যকর হবে- তা নিয়ে তাদের সন্দেহ রয়েছে।</t>
  </si>
  <si>
    <t>সাম্প্রদায়িক উত্তেজনার প্রেক্ষাপটে, বিক্ষোভটি ঢাকায় ব্যাপক দাঙ্গার রূপ নেয়। মাত্র ৭২ ঘণ্টায় ৪,০০০ জনের বেশি মানুষ প্রাণ হারায় এবং ১,০০,০০০ জন বাসিন্দা গৃহহীন হয়ে পড়ে।</t>
  </si>
  <si>
    <t>নোয়াখালী সবসময়ই প্রতিটি ধর্মকে শ্রদ্ধা এবং মূল্যায়ন করে। সেই সাথে বাংলাদেশকেও যথেষ্ট কেয়ার করে।</t>
  </si>
  <si>
    <t>নওগাঁয়ে ধর্মীয় দ্বন্দ্বে সংখ্যালঘু সম্প্রদায়ের ওপর হামলায় অন্তত ৪২ জন নিহত হন।</t>
  </si>
  <si>
    <t>সে মুনাওয়ারের মতো একজন মুসলিমকে সহ্য করতে পারে না, এইটা তার ব্যক্তিগত স্বার্থ ও কট্টর হিন্দুবাদী ব্রোসেনাদের মন রক্ষার চেস্টা।</t>
  </si>
  <si>
    <t>আল্লাহ আপনাকে নেক হায়াত দিক এবং কোরআন থেকে এমন শিক্ষনীয় বিষয়গুলো আমাদের কাছে তুলে ধরার তৌফিক দিন আমীন।</t>
  </si>
  <si>
    <t>ধর্মীয় ভেদাভেদ সৃষ্টি তে এরাই হুমকি,,,এখনো সোজা হয়ে দাঁড়িয়ে আছে কিভাবে বুঝি না,,,,</t>
  </si>
  <si>
    <t>রাজশাহীতে সন্ধ্যার পরে একটি ছোট রাধাকৃষ্ণ মন্দিরে আগুন লাগিয়ে দেয়া হয়, প্রতিমা ও আসবাব পুড়ে যায়।</t>
  </si>
  <si>
    <t>জেলা পুলিশ সুপারিনটেনড সশস্ত্র পুলিশ কন্টিনজেন্ট এবং আনসার বাহিনী সহযোগে কালশিরা ও এর আশেপাশের হিন্দু গ্রামগুলোতে নির্দয় ভাবে আক্রমণ শুরু করে।[৯][১০] তারা আশেপাশের গ্রামগুলোর মুসলিম অধিবাসীদেরকে হিন্দু সম্প্রদায়ের বাড়িঘর এবং সম্পত্তি লুটপাটে উৎসাহ দিতে থাকে।</t>
  </si>
  <si>
    <t>সম্প্রতি দিনাজপুরের কান্তনগর মন্দিরের জমিতে মসজিদ নির্মাণ করা হচ্ছে, এরকম একটি অভিযোগ তুলে নির্মাণ বন্ধ করে দিয়েছে হিন্দু সম্প্রদায়। কিন্তু পত্রিকার সংবাদ অনুযায়ী, মসজিদ কমিটির সভাপতি আব্দুস সালাম বলেন, এখানে আগে থেকেই কাঁচা মসজিদ ছিল।</t>
  </si>
  <si>
    <t>ঐতিহ্য অনুসারে, মক্কা বিজয়ের পর যখন কাবাঘর থেকে মূর্তিগুলো সরিয়ে ফেলা হচ্ছিল, তখন কাবার ভেতর থেকে হাতে ভবিষ্যদ্বাণীর তীর ধারণকারী ইব্রাহিম ও তার পুত্র ইসমাইল এর মূর্তি উদ্ধার করা হয়।</t>
  </si>
  <si>
    <t>৪ আগস্ট ২০২৩ রাজবাড়ীর গোয়ালন্দে রথযাত্রার আগের রাতে একটি রথ মঞ্চে আগুন ধরিয়ে দেয়া হয়, ভিতরে থাকা প্রতিমাসহ সবকিছু পুড়ে যায়</t>
  </si>
  <si>
    <t>সাভারে হিন্দু পরিবারের ওপর সন্ত্রাসী হামলা উচ্ছেদের হুমকি,</t>
  </si>
  <si>
    <t>তীব্র নিন্দা জানাই সুইডেনের প্রেসিডেন্ট কে ও প্রশাসনকে আর এর সাথে ধন্যবাদ জানাই পুতিন প্রেসিডেন্ট কে মহান আল্লাহ তা'আলা যেন উনাকে হাজার বছর বাঁচিয়ে রাখুক</t>
  </si>
  <si>
    <t>আমি সরকারের নিকট আবেদন জানাবো যে অন্তত ধর্মান্তর ও বিয়ের ক্ষেত্রে রাষ্ট্রীয় ১৮ বছরের আইনটি সংশোধন করা হোক।</t>
  </si>
  <si>
    <t>উদ্দেশ্যমূলক সাম্প্রদায়িক সম্প্রীতি ক্ষুন্ন করার জন্য একটি মহলের নোংরা প্রক্রিয়া। যাইহোক অপরাধী যেই হোক না কেন সুষ্ঠু তদন্তের ভিত্তিতে এদের আইনের আওতায় এনে চরম শাস্তি দেয়া হোক। যা পরবর্তীতে সমাজে দৃষ্টান্ত হয়ে থাকবে যার ফলে কেউ এই ন্যাক্কারজনক কাজ করতে সাহস না পায়।</t>
  </si>
  <si>
    <t>বাংলাদেশে ৯/১১-এর পর মুসলিমদের বিরুদ্ধে বিদ্বেষমূলক হামলা বেড়ে যায়।</t>
  </si>
  <si>
    <t>ধর্মে কর্মে মন নেই বলে লাঞ্ছনার শেষ নেই। কালাচাঁদ! কী করে বোঝাব প্রাতিষ্ঠানিক ধর্ম এবং ঈশ্বরের মধ্যে একচুলও সম্পর্ক নেই।</t>
  </si>
  <si>
    <t>হিন্দু মেয়েই বিয়ে করতে হবে দেখছি মুসলিম বানিয়ে, দাদাদের জ্বালা আরও বাড়িয়ে দিব।</t>
  </si>
  <si>
    <t>মুসলিম দেশে মুসলমানরা আইডেন্টিটি ক্রাইসিসে ভুগছে মনে হচ্ছে! সবাই মিলে হিন্দুত্ববাদের দালাল সরকারকে প্রতিহত না করলে সামনে আরও বিপদ আসবে।</t>
  </si>
  <si>
    <t>সীতাকুণ্ড হত্যাকাণ্ড যা ১৯৫০ সালের ১৫ই ফেব্রুয়ারি হিন্দু তীর্থযাত্রীদের উপর সংগঠিত হত্যাকাণ্ডকে নির্দেশ করে।[১] সমগ্র পূর্ব বাংলা, আসাম ও ত্রিপুরা থেকে তীর্থযাত্রীরা মহা শিবরাত্রি উপলক্ষে হিন্দু ধর্মের পূর্ণ্যভূমি সীতাকুণ্ডের চন্দ্রনাথ পাহাড়ে অবস্থিত চন্দ্রনাথ মন্দির যাওয়ার পথে সীতাকুণ্ড রেলস্টেশন এলাকায় সশস্ত্র আনসার ও মুসলিমদের আক্রমণের শিকার হয়।</t>
  </si>
  <si>
    <t>আর যারা আল্লাহর পথে নিহত হয়েছে তাদেরকে কখনোই মৃত মনে করো না; বরং তারা জীবিত এবং তাদের রবের কাছ থেকে তারা জীবিকা-প্রাপ্ত হয়ে থাকে।</t>
  </si>
  <si>
    <t>যখনই হতাশায় নিমজ্জিত হই, ভেঙে পড়ি, তখন ওস্তাদের লেকচার শুনে আবার আশা ফিরে পাই, অন্তরদৃষ্টি খুলতে থাকে, আলহামদুলিল্লাহ। আল্লাহ তাকেসহ ডাবিংকৃত সবাইকে উত্তম প্রতিদান দান করুন।"</t>
  </si>
  <si>
    <t>ঠাকুরগাঁওয়ে খ্রিস্টান পরিবারের বাড়িতে হামলা চালিয়ে বাইবেল ছিঁড়ে ফেলে এবং ধর্মান্তরের হুমকি দেয়।</t>
  </si>
  <si>
    <t>বগুড়ার রথযাত্রায় পূণ্যার্থীদের মৃত্যুর প্রসঙ্গে রাণা দাশগুপ্ত বলেন, ‘‘এ ঘটনায় আমরা মর্মাহত।'' তিনি এ ঘটনার সুষ্ঠু তদন্ত দাবি করেন।</t>
  </si>
  <si>
    <t>ধর্ম নিয়ে কটুক্তি মানুষকে বিভক্ত করেছে এবং তার ফলস্বরূপ বহু ব্যক্তি প্রাণ হারিয়েছে, যা মানবতার জন্য চরম বেদনাদায়ক।</t>
  </si>
  <si>
    <t>আরেকজন বাঙালি : আমি মুসলিম | আমি ইসলাম পালন করবো এটাই আমার সিদ্ধান্ত, বঙ্গিয় সেকুলাঙ্গার : তুই জঙ্গি, ভন্ডামিতে বঙ্গিয়</t>
  </si>
  <si>
    <t>টাঙ্গাইলের মির্জাপুরে প্রাচীন কালীমন্দিরে ঢুকে চন্দনের মূর্তি ও প্রার্থনার সামগ্রী ভেঙে ফেলা হয়।</t>
  </si>
  <si>
    <t>ইসলাম ধর্মে মুসলমানরা কিভাবে ঈদ উৎসব উদযাপন শুরু করেছিল।</t>
  </si>
  <si>
    <t>আমাদের পবিত্র গন্থ আল কোরআন এর অবমাননা করে, আবার সেখানে আমার ধর্মের মানুষের উপর গুলি</t>
  </si>
  <si>
    <t>২০১৮ সালের জানুয়ারিতে ধর্মীয় ভিন্নমতের কারণে এক চিকিৎসককে প্রকাশ্যে কুপিয়ে হত্যা করা হয়; তার স্ত্রী মানসিক বিপর্যস্ত হয়ে আত্মহত্যা করেন; মোট ১২ জন নিহত হন।</t>
  </si>
  <si>
    <t>একটি মসজিদের ইমামসহ দুইজন বাংলাদেশিকে গুলি করে হত্যা করেছে অজ্ঞাত সন্ত্রাসী। নামায শেষে হেটে এ সময় তারা বাড়িতে ফিরছিলেন।</t>
  </si>
  <si>
    <t>সাধারণ মানুষদের কুরআন সুন্নাহ পালনের উদাসীনতা ও ত্রুটিকে সামনে এনে কিছু ভাই এসব অমাননাকর ঘটনার সাথে মিলান। আর বলেন, "নিজেরা সারাজীবন কুরআন সুন্নাহর সাথে অবমাননা করে অন্য ধর্মের মানুষের অবমাননা নিয়ে সরব হতে আসছে</t>
  </si>
  <si>
    <t>২০২১ সালের সেপ্টেম্বর মাসে এক গোষ্ঠী ধর্মীয় গোষ্ঠী সংখ্যালঘুদের নাগরিকত্ব বাতিল করে; দারিদ্র্য ও অসুস্থতায় ৫৭ জন মারা যায়।</t>
  </si>
  <si>
    <t>২৩ সেপ্টেম্বর সাতক্ষীরার তালা উপজেলার জেয়ালা নলতা গ্রামের একটি মন্দিরে প্রতিমা ভাংচুর হয়। সেদিন শুক্রবার ভোর রাতে সাহাপাড়া মন্দিরে থাকা প্রতিমার মাথার অংশ ভেঙ্গে দেয় মুসলিম দূর্বৃত্তরা। পুলিশের ঊর্ধ্বতন কর্মকর্তা এবং সংসদ সদস্যসহ স্থানীয় জনপ্রতিনিধিরা ঘটনাস্থল পরিদর্শন করেন এবং তদন্তের মাধ্যমে ঘটনায় জরিতদের আইনের আওতায় নিয়ে আসার কথা বলেন।</t>
  </si>
  <si>
    <t>আমরা হিন্দু এবং মুসলমানদের জন্য আলাদা প্যাকেজ দেই। কিন্তু বৌদ্ধদের জন্যে আলাদা করে কিছু করি না। অথচ বৌদ্ধ প্রধান দেশগুলো থেকে যারা আসেন, তাদের সংখ্যা বললে আমরা ভালোই টুরিস্ট পাচ্ছি।</t>
  </si>
  <si>
    <t>আজ ইফতার আটকে দিতে পারলে কাল ঈদের নামাজ আটকে দিবে। তারপর জুম্মা বন্ধ করবে। এই ধারাবাহিকতায় ইসলামকে ঘরের মধ্যে ঢোকাবে। ঘরে বসে ইসলাম পালনের কথা বলবে। সামাজিক ইসলামকে নিষিদ্ধ করবে।</t>
  </si>
  <si>
    <t>৯ সেপ্টেম্বর ২০২৩ ঝালকাঠির রাজাপুরে দুর্গা প্রতিমার মুখে চুন দিয়ে বিকৃতি করে দেয়া হয়</t>
  </si>
  <si>
    <t>আপনি মুসলিম হওয়া সত্ত্বেও আপনাকে কেউ মুসলিম বললে যদি আপনার অনুভূতিতে আঘাত লাগে, তাহলে আপনি ইসলাম ত্যাগ করা উচিত।</t>
  </si>
  <si>
    <t>মানবতা এবং ন্যায়বিচার সব ধর্মের মূল শিক্ষা, যা আমাদের জীবনে সত্যিকারের শান্তি আনতে পারে।</t>
  </si>
  <si>
    <t>আমরা যে যেই ধর্মই পালন করি না কেন, মানবিকতা আমাদের সবার উপরে থাকা উচিত।</t>
  </si>
  <si>
    <t>১ সেপ্টেম্বর ২০২৪ সাতক্ষীরার তালায় মন্দিরের গম্বুজ ভেঙে ফেলে ভিতরে রাখা পাঁচটি মূর্তি চূর্ণ করে দেয় দুর্বৃত্তরা</t>
  </si>
  <si>
    <t>ঘটনার পরে স্থানীয় হিন্দুরা ভয়ে ছিল। কিছু দুর্বৃত্ত একটি হরি মন্দিরে প্রবেশ করে প্রতিমা ধ্বংস করেছে এবং আরও কয়েকটি হিন্দু মন্দিরে প্রতিমা অবমাননা করেছে।</t>
  </si>
  <si>
    <t>হিন্দুরা দেশের জনসংখ্যার প্রায় ৩৮%। ১৯৯০এর দশকের শেষের দিকে ফিজিতে খ্রিস্টীয় মৌলবাদীদের দ্বারা হিন্দুদের সাথে কয়েকটি দাঙ্গা লাগানো হয়ে।</t>
  </si>
  <si>
    <t>দেশের সর্বস্তরের হিন্দু জনগোষ্ঠীকে অনুরোধ জানাবো, আপনারা শুধু পূজার্চনা, কীর্তন, গান-বাজনা না করে হিন্দু ধর্ম ও সমাজের যারা ক্ষতি করার চেষ্টা করছে, দেশে থেকে হিন্দুশূন্য করার প্লান করছে এদের বিরুদ্ধে সোচ্চার হোন</t>
  </si>
  <si>
    <t>হে আল্লাহ! আমাদের পৃথিবী ও পরকালে কল্যাণ দাও এবং জাহান্নাম থেকে রক্ষা করো। আল্লাহ তার জন্য দোয়া শোনেন এবং তাকে সুস্থ করে দেন।</t>
  </si>
  <si>
    <t>একটি গ্রামে একটি স্থানীয় উপজাতির হাতে প্রায় ১,৮০০ বাঙালি মুসলমান নিহত হন; এটি দ্বিতীয় বিশ্বযুদ্ধের পরকার সবচেয়ে গুরুতর গণহত্যা।</t>
  </si>
  <si>
    <t>ইসলামই হচ্ছে টোটাল ইউনিভার্সের এক্সিসটেন্সের লজিক্যাল এক্সপ্লেনেশন। ইসলাম খুবিই খুবিই সিরিয়াস বিষয়।</t>
  </si>
  <si>
    <t>বাংলাদেশে মুসলিমদের পবিত্র ধর্মীয় গ্রন্থ পোড়ানোর ঘটনায় একজন যুবক সালওয়ান মোমিকা (৩৮) গুলিবিদ্ধ হয়ে নিহত হয়েছে। সে ধর্মীয় গ্রন্থ পোড়ানোর মাধ্যমে সহিংস প্রতিবাদের উসকানি দিয়েছিল।</t>
  </si>
  <si>
    <t>ধর্মীয় বিদ্বেষ ও সহিংসতা উসকে দেওয়ার উপায় হিসেবে এ ধরনের ঘটনা কেন ঘটছে, তা খতিয়ে দেখতে হবে। এমন ঘটনা সংশ্লিষ্ট সরকারের সম্মতিতে ঘটছে বলেও অভিযোগ করা হয়।</t>
  </si>
  <si>
    <t>যিশুখ্রিষ্ট আমাদের ভালোবাসা, ক্ষমা ও করুণা শেখান। তিনি বলেছিলেন, ‘তোমার শত্রুকেও ভালোবাসো।’</t>
  </si>
  <si>
    <t>মনে ভরে যায় কথাগুলো শুনলে।অশান্ত মনটাও প্রশান্ত হয়ে যায়। মনে হয় এই দুনিয়াতে আর কিছুই চাইবার নেই।</t>
  </si>
  <si>
    <t>কেউ প্রকৃত মুমিন হতে পারবে না, যতক্ষণ না রাসূল (সা:) তার নিকট তার পিতা, তার সন্তান ও সব মানুষ অপেক্ষা অধিক প্রিয়পাত্র হবে।”</t>
  </si>
  <si>
    <t>একজন খ্রীষ্টানের রক্তে যখন একজন মুসলিম শিশু জীবন ফিরে পায় , আবার যখন একজন মুসলিম ভাইয়ের রক্তে একজন হিন্দু বৃদ্ধ জীবন ফিরে পায় , আবার যখন একজন হিন্দুর রক্তে একজন খ্রীষ্টান জীবন ফিরে পায় , এরপর যখন সবার রক্তরঙ লাল হয় তখন বিভেদ কিসের এতো ? আর হানাহানি সাম্প্রদায়িক দাঙ্গা কিসের জন্য হয় ?</t>
  </si>
  <si>
    <t>লক্ষ্মীপুরে বৌদ্ধ বিহারে ঢুকে প্রার্থনা চলাকালে ধর্মীয় সংগীত বাজিয়ে বিশৃঙ্খলা সৃষ্টি করা হয়।</t>
  </si>
  <si>
    <t>কুরআনের আয়াতে বলা হয়েছে যে, প্রাণীদের প্রতি সদয় আচরণ করা ঈমানের পরিচয় এবং এটি আল্লাহর সন্তুষ্টি অর্জনের একটি মাধ্যম।</t>
  </si>
  <si>
    <t>ব্রাহ্মণবাড়িয়ায় রাতের বেলা একদল লোক ঢুকে মন্দিরের সিঁড়ির পাশে রাখা সিংহ-মূর্তি দুটি ভেঙে ফেলে।</t>
  </si>
  <si>
    <t>আমরা কখনো হিন্দু-মুসলমান নিয়ে আলোচনা করি না। আমার স্ত্রী হিন্দু, আমি একজন মুসলমান।</t>
  </si>
  <si>
    <t>যে পশ্চিমবঙ্গ দীর্ঘদিন ধরে বামপন্থীদের শক্ত ঘাঁটি ছিল - যারা নিজেরা ধর্মাচরণ থেকে দূরে থাকার চেষ্টা করতেন এবং ধর্মের বিষয়টা সেভাবে নিয়ে আসেন নি রাজনীতিতে, সেই রকম একটা রাজ্যের রাজনীতিতে ধর্ম কীভাবে ঢুকে পড়ল?</t>
  </si>
  <si>
    <t>ওই দিন সকাল ১০টা নাগাদ এর একটি ছবি ও ভিডিও ব্যাপকভাবে সামাজিক মাধ্যমে ছড়িয়ে পড়ে। যেখানে দেখা যায়, মূর্তির হাঁটুর কাছে কুরআন রয়েছে এবং হনুমান মূর্তির হাতে থাকা অস্ত্রটি (গদা) নেই।[১৭] অনেকে বিষয়টি নিয়ে উস্কানিমূলক বক্তব্য দিয়ে কুরআন অবমাননার অভিযোগ করতে থাকেন। বিষয়টি সামাজিক যোগাযোগ মাধ্যমে ব্যাপকভাবে ভাইরাল হলে দেশজুড়ে বিভিন্ন জেলায় পূজামণ্ডপে হামলা, ভাঙচুর, মারধরের ঘটনা ঘটতে থাকে।</t>
  </si>
  <si>
    <t>বগুড়ায় ধর্মীয় গোষ্ঠী থেকে ধর্মত্যাগের অভিযোগে এক তরুণকে হত্যা করা হয়; সংঘর্ষে ১৪ জন নিহত হয়।</t>
  </si>
  <si>
    <t>আল্লাহ পাকের মহিমা বোঝার মত ক্ষমতা না থাকায় হয়তো তাকে বুঝিনা।তিনি আল্লাহ পাক কতই না উত্তর। আল্লাহ আমার জীবনটা তুমি তোমার রঙ্গে রাঙিয়ে নেওয়ার তৌফিক দাও( আমিন)</t>
  </si>
  <si>
    <t>১৯৯২ সালের ডিসেম্বর, বাবরি মসজিদ ধ্বংসের পর বাংলাদেশে হিন্দুদের উপর হামলা চালানো হয়। ১৩ জন নিহত, ২৮০০টি বাড়ি ধ্বংস ও ২৬০০ নারী ধর্ষণের শিকার হন।</t>
  </si>
  <si>
    <t>এক গোষ্ঠী ধর্মীয় মিছিল বাধা দিতে গিয়ে ১৫ জন নিহত হয়।</t>
  </si>
  <si>
    <t>পুলিশ বলছে যে দুই মুসলিম ব্যক্তি একজন হিন্দু ব্যক্তির ফেসবুক হ্যাক করে নবী অবমাননাকর বার্তা দিয়েছিলেন তাদের আটক করা হয়েছে।</t>
  </si>
  <si>
    <t>২০২১ সালের ১৯ অক্টোবর, ফেনীর পরশুরামে হিন্দুদের উপর হামলা চালানো হয়, মন্দির ও বাড়িঘর ভাঙচুর করা হয়, এতে ۱۳ জন নিহত হন।</t>
  </si>
  <si>
    <t>রাউজান পুলিশ স্টেশনের অন্তর্গত লাম্বুরহাটের বৌদ্ধ জমিদার বাড়িটি পুড়িয়ে ছাই করে দেয় মুসলিমরা।</t>
  </si>
  <si>
    <t>লোপপুর বাজারে আব্দুস সবুর খান অন্য একটি জনসভায় সদর্পে ঘোষণা করে, সে হিন্দুদের পৃষ্ঠদেশ থেকে চামড়া তুলে পায়ের জুতো তৈরি করবে। হিন্দুদের উপর মাত্রা ছাড়া গণহত্যার ভিত রচনা করে সবুর খান তার ভ্রাতুষ্পুত্রীর বিয়ের জন্য এক রাজকীয় অনুষ্ঠান আয়োজন করে।</t>
  </si>
  <si>
    <t>২০১৯ সালের অক্টোবর মাসে এক ধর্মীয় গোষ্ঠী সংখ্যালঘুদের বাড়ি পুড়িয়ে দেওয়ার ঘটনায় ২৭ জন নিহত হয়।</t>
  </si>
  <si>
    <t>সন্ধ্যায় তারা শোভাগঞ্জ ইউনিয়নের কয়েকটি বাড়িতে ভাঙচুর চালায়। হিন্দু সম্প্রদায়ের নেতারা অভিযোগ করেছেন যে হামলাকারীরা রংপুর জেলার মিঠাপুকুর উপজেলার কেন্দ্রীয় কালী মন্দিরে ভাঙচুর করেছে</t>
  </si>
  <si>
    <t>কোনো বিশেষ ধর্মের জন্য বা একক কোনো ধর্মকে সুরক্ষা দিতে এ আইন নয়। এর বাইরেও ২০১৮ সালের ডিজিটাল নিরাপত্তা আইনে ইলেকট্রনিক বিন্যাসে ধর্মীয় অনুভূতিতে আঘাত করা শাস্তিযোগ্য অপরাধ।</t>
  </si>
  <si>
    <t>পৃথিবীতে জন্ম নেওয়া প্রত্যেকটি মানুষের মৃত্যু অবধারিত। পবিত্র কোরআনে আল্লাহ তায়ালা বলেন, তোমরা যেখানেই থাক না কেন, মৃত্যু তোমাদের নাগাল পাবেই; যদিও তোমরা সুউচ্চ সুদৃঢ় দুর্গে অবস্থান কর।</t>
  </si>
  <si>
    <t>বরগুনায় একটি নতুন নির্মাণাধীন মন্দিরের ছাদে হামলা চালিয়ে নির্মাণাধীন মূর্তিগুলো গুঁড়িয়ে ফেলা হয়।</t>
  </si>
  <si>
    <t>হিন্দুদের খাবার, পোশাক, সংস্কৃতি সবই অপবিত্র, মুসলমানদের ওদের থেকে দূরে থাকা উচিত।</t>
  </si>
  <si>
    <t>বারবার পবিত্র কোরআন পোড়ানোর ঘটনা ঘটেছে। এরই প্রতিক্রিয়ায় গত কয়েক সপ্তাহ ধরেই কয়েকটি মুসলিম দেশে বিক্ষোভ অব্যাহত রয়েছে। সৌদি আরবসহ মুসলিম বিশ্ব দ্রুতই এর ক্ষোভ জানিয়েছে। শুধু তাই নয়, সুইডিশ ও ড্যানিশ রাষ্ট্রদূতদের তলব করে আনুষ্ঠানিক প্রতিবাদ জানিয়েছে।</t>
  </si>
  <si>
    <t>এমন চিন্তা সবাই করতে পারলে ইসলাম পালন সহজ হতো। বড় বড় মিডিয়া ব্যক্তিত্বরা যদি ইসলাম পালনে গুরুত্ব দেন, তা দ্বীনের জন্য উপকারী হবে।</t>
  </si>
  <si>
    <t>আল্লাহ কুরআনে বলেছেন যে, পৃথিবীর প্রতিটি প্রাণী তাঁর সৃষ্টির অংশ এবং তাদের প্রতি দয়া ও যত্ন প্রদর্শন করা আমাদের দায়িত্ব।</t>
  </si>
  <si>
    <t>আপনি যদি গুন্নাগুলো একটু ধীরে বলতেন, বুঝতে আরও ভালো হতো। আল্লাহ আপনাকে ভালো রাখুন এবং দ্বীনের খেদমতে আরও বরকত দিন।</t>
  </si>
  <si>
    <t>বরিশাল জেলায় গৌরনদী উপজেলার নলচিরা ইউনিয়নে একটি হিন্দু মন্দিরে আগুন দেওয়া হয়। পিংলকাঠি সর্বজনীন দুর্গা মন্দির ভাঙচুর করা হয়।</t>
  </si>
  <si>
    <t>ইসলাম ধর্মে জন্মগ্রহণ করেছে ঠিকই, তবে ইসলাম সম্পর্কে কখনও জানার চেষ্টা করেনি, কুরআনের আয়াতগুলো বোঝার চেষ্টা করেনি, ইসলাম সম্পর্কে সামান্য জানার চেষ্টা করলেও এ ধরনের সিদ্ধান্ত নিতো না।</t>
  </si>
  <si>
    <t>১৯১২-১৩ সালের প্রথম বিশ্বযুদ্ধের সময় এই অঞ্চলে ১৩,০০০ মুসলমানকে জোরপূর্বক খ্রিস্টানে ধর্মান্তরিত করা হয়েছিল।</t>
  </si>
  <si>
    <t>প্রত্যেক ধর্মগ্রন্থেই ন্যায় পরায়ন, শিক্ষা ও ধর্মের কথা উল্লেখ করা হয়েছে।</t>
  </si>
  <si>
    <t>ইসলামের পবিত্র প্রতীকগুলোকে অমর্যাদার জন্য টার্গেট করা হচ্ছে। এটা মূলত মুসলিমদের প্রতি ক্রমবর্ধমান ঘৃণা ও বিদ্বেষের অংশ যা ইউরোপের কট্টর ডানপন্থিরা আরও উসকে দিচ্ছে।</t>
  </si>
  <si>
    <t>কুড়িগ্রামে একটি গির্জার সম্মুখে ‘বিদেশি ধর্ম নিষিদ্ধ’ লেখা ব্যানার টাঙানো হয়, যা বিশৃঙ্খলার জন্ম দেয়।</t>
  </si>
  <si>
    <t>২০২০ সালের জুনে একটি খ্রিস্টান মিশনারি স্কুলে ধর্মীয় বিদ্বেষের কারণে বোমা হামলা চালানো হয়, এতে ৩৭ জন শিশু নিহত হয়।</t>
  </si>
  <si>
    <t>তাসকিনের স্ত্রীর বোরকা নিয়ে নোংরামি করা হলো। তখন এই সুবিধাবাদীরা প্রতিবাদ না করে উল্টো ওদের আক্রমণের সাথে তাল দিয়েছিল।</t>
  </si>
  <si>
    <t>স্ত্রী স্নেহার সাক্ষীর পর নওমুসলিম এ ভাইটির বিরুদ্ধে আনা অভিযোগুলো আদালতে মিথ্যা প্রমাণিত হয়েছে। সেহেতু তাকে স্বেচ্ছায় খালাস দেওয়ার কথা। কিন্তু আদালত এখনো তাকে আটকে রেখেছে এবং আজকে তার জামিন শুনানি ছিল কিন্তু আবারো তার জামিন না-মঞ্জুর করলো আদালত।</t>
  </si>
  <si>
    <t>সৈন্যরা বন্দী হিন্দুদের উপর গুলি চালায়, ৬৩ জন তৎক্ষণাৎ মারা যায়। এরপর রাজাকাররা গ্রামে লুটপাট চালায় এবং আব্দুল আহাদ চৌধুরীর বাড়িতে একজন মহিলাকে বন্দী হিসেবে ধরে নিয়ে যাওয়া হয়।</t>
  </si>
  <si>
    <t>সনাতন ধর্ম কাউকে ছোট করে না।আমি গর্বিত আমি হিন্দু কারণ হিন্দু ধর্ম প্রমান করার জন্য কাউকে চ্যালেন্জ করতে হয় না।</t>
  </si>
  <si>
    <t>ইসলামে প্রতিবেশীর হককে অনেক গুরুত্ব দেওয়া হয়েছে। বলা হয়েছে, 'যে তার প্রতিবেশীকে কষ্ট দেয়, সে আমার উম্মত নয়।'</t>
  </si>
  <si>
    <t>বিশ্বের তিন-চতুর্থাংশ দেশে ধর্মীয় স্বাধীনতার উপর নিম্ন থেকে মাঝারি বিধিনিষেধ রয়েছে, তাদের এক চতুর্থাংশে উচ্চ এবং অত্যন্ত উচ্চ বিধিনিষেধ রয়েছে, ধর্মীয় স্বাধীনতা এবং নিপীড়ন সম্পর্কিত স্টেট ডিপার্টমেন্টের বার্ষিক কংগ্রেসে দেওয়া প্রতিবেদন অনুসারে।</t>
  </si>
  <si>
    <t>৪ নভেম্বর আবার হামলা করা হয় নাসিরনগরের হিন্দুদের উপরে। স্থানীয় এমপি ও তৎকালীন মৎস্য ও পানিসম্পদ মন্ত্রী মোহাম্মদ ছায়েদুল হক দ্বারা হিন্দুদের নিয়ে কটু মন্তব্যও এর জন্য দায়ী ।[৯] এই ঘটনায় আওয়ামী লীগ নেতারা উস্কানি দিয়েছে ।[১০][১১][১২][১৩]এই ঘটনার 'মাস্টারমাইন্ড' ছিল আওয়ামী লীগের হরিপুর ইউনিয়নের চেয়ারম্যান দেওয়ান আতিকুর রহমান আঁখি।</t>
  </si>
  <si>
    <t>বাংলাদেশে হিন্দু সম্প্রদায়ের ওপর হামলার প্রতিবাদে হিন্দু ও মুসলিম উভয় সম্প্রদায়ের মানুষ পাশাপাশি দাঁড়ায়।</t>
  </si>
  <si>
    <t>কমেন্টের নামগুলো দেখে তো মুসলিম মনে হচ্ছে! একসময় ছিলো যখন নাম দেখেই মুসলিম নাকি অমুসলিম আলাদা করা যেত,এখন নাম দেখে তা বোঝার উপায় নাই। এদের কমেন্ট দেখে মনে হয় নামের পাশে শ্রী লাগালে ভালো হয়ত।</t>
  </si>
  <si>
    <t>সে ধর্ম পালন করবে কিনা তার ব্যাপার। ধর্ম মানতে কেন চাপ দেন ভাই। আপনি করুন না ধর্ম পালন।নিজেরা ধর্মের দোহাই দিয়ে সব হারাম করেন, আর অন্যকে জোর করেন ইসলাম মানতে l এটা ভণ্ডামি নয় তাহলে কী?</t>
  </si>
  <si>
    <t>পূজার সাথে পলিটিক্যাল এক্টিভিটি জড়িত না, ইফতার পার্টির সাথে জড়িত। তাই ধর্মীয় দৃষ্টিকোণ থেকে এটি নিয়ে সাম্প্রদায়িক ক্ল্যাশ তৈরির কোনো প্রয়োজন নেই।</t>
  </si>
  <si>
    <t>নরসিংদীর সনাতন ধর্মালম্বী গ্রামে শিবমন্দিরে ঢুকে ভাঙচুর চালিয়ে শিবলিঙ্গসহ তিনটি প্রতিমা ভাঙে একদল যুবক।</t>
  </si>
  <si>
    <t>পিয়েরে ডিলানি উল্লেখ করেছেন, একটি ঘটনার দিনে কমপক্ষে ২,০০০ হিন্দুকে নির্মমভাবে হত্যা করা হয় এবং এক রেলস্টেশনে হিন্দু যাত্রীদের হত্যা করা হয়।</t>
  </si>
  <si>
    <t>৫ ও ৭ মার্চ লালমনিরহাটে কয়েকটি হিন্দু মন্দিরে ভাঙচুর ও অগ্নিসংযোগের ঘটনা ঘটে।</t>
  </si>
  <si>
    <t>ধর্মতলা স্ট্রিটে চাঁদনি চক বাজার মুসলিমদের দ্বারা লুটপাট করা হয়েছে।</t>
  </si>
  <si>
    <t>শিখ ধর্মে সব মানুষের সমান মর্যাদা ও সেবা করার গুরুত্ব দেওয়া হয়েছে। ‘সেবা’ একটি গুরুত্বপূর্ণ ধর্মীয় নীতি।</t>
  </si>
  <si>
    <t>খ্রিস্টান ধর্মের অনুসারীরা বিশ্বাস করেন যে, পৃথিবীতে শান্তি ও ভালোবাসা প্রতিষ্ঠিত করতে হলে আমাদের নিজেদের মাঝে সহানুভূতি, সহমর্মিতা এবং সদ্ভাবনা থাকতে হবে, এবং কখনোই আমাদের ধর্মের নামে কোনো ধরনের আক্রমণ বা সহিংসতা করা উচিত নয়।</t>
  </si>
  <si>
    <t>আয়ুব খানের নেতৃত্বে এই দেশের সরকার শুরু থেকেই বাঙালি হিন্দু ও অন্যান্য সংখ্যালঘু সম্প্রদায়ের ওপর এথনিক ক্লিনজিঙের পরিকল্পনা নেন।</t>
  </si>
  <si>
    <t>আল্লাহ অন্যায়কারীদের ছাড়েন না, তাদের বিচার করবেন। আল্লাহ তাদের হেদায়েত করুন।</t>
  </si>
  <si>
    <t>অগ্রগামিতার প্রচেষ্টার পাশাপাশি মুসলিম উম্মাহর কর্তব্য, এই মূল্যবান সম্পদকে জীবন দিয়ে রক্ষা করা, কুরআন মজীদের সাথে সম্পর্ক কায়েম করা</t>
  </si>
  <si>
    <t>আলহামদুলিল্লাহ বেশ প্রজ্ঞাপূর্ণ একটা আলোচনা। পুরো রমজানে আপনার এই শ্রমটা গুরুত্বপূর্ণ ভূমিকা রাখবে</t>
  </si>
  <si>
    <t>সার্ব বাহিনী চট্টগ্রামে মুসলমানদের বিরুদ্ধে জাতিগত নির্মূল অভিযান চালায় (সাল ১৯৯৫)</t>
  </si>
  <si>
    <t>খ্রিস্টানরা নিজের ধর্ম ছাড়াও অন্য ধর্মে হস্তক্ষেপ করে, এদের বিশ্বাস করা যায় না।</t>
  </si>
  <si>
    <t>যা হোক বাংলাদেশ এর নাস্তিক, মুক্তমনা, ইসলাম বিদ্বেষকারী এরা সবাই এই পোস্ট দেখে খুব আত্মতৃপ্তি পেয়েছে</t>
  </si>
  <si>
    <t>সমাজ অবৈধ সম্পর্ক মেনে নেয়, অথচ বৈধ সম্পর্কের শেষ হয় আত্মহত্যায়; এ সমাজ ব্যবস্থা নিন্দনীয়।</t>
  </si>
  <si>
    <t>ক্লাসে মত প্রকাশের স্বাধীনতা শেখাতে ইসলামের নবীর কার্টুন দেখানোর পর থেকে হুমকির ভেতরে ছিলেন প্যারিসের উপকণ্ঠে এক স্কুলের ইতিহাস ও ভূগোলের শিক্ষক স্যামুয়েল প্যাটি।</t>
  </si>
  <si>
    <t>সপ্তাহ খানেক আগে গাড়ি সংক্রান্ত এক বিরোধের জেরে মুসলিমরা বৌদ্ধ এক তরুণকে পিটিয়ে হত্যা করেছে- এরকম একটি অভিযোগের পর সেখানে উত্তেজনা ছড়িয়ে পড়ে।</t>
  </si>
  <si>
    <t>একসময় এই বাংলার সংখ্যাগরিষ্ঠ মানুষ বৌদ্ধ ধর্মের অনুসারী ছিলেন। টানা চার শত বছর বৌদ্ধরা বাংলা শাসন করেছিলেন। বৌদ্ধ শাসনামল ‘পাল’ শাসনামল নামে পরিচিত ছিল। অর্থাৎ পুরো পাল যুগটাই ছিল বাংলার ইতিহাসে বৌদ্ধ যুগ।</t>
  </si>
  <si>
    <t>আমার জন্ম এক মুসলিম পরিবারে, আমি প্রতিদিন কোরান পাঠ করতাম। আমার জীবন ছিল কঠিন, কিন্তু একদিন এক ভাই বলল যে, যিশু খ্রীষ্টের শরণাপন্ন হলে সব কষ্টের সমাপ্তি হবে।</t>
  </si>
  <si>
    <t>শরীয়তপুরে ধর্মীয় গোষ্ঠী সংখ্যালঘুদের বাড়িঘর পুড়িয়ে দেয়; এতে ৩৫ জন প্রাণ হারায়।</t>
  </si>
  <si>
    <t>আলহামদুলিল্লাহ, যত বেশি শুনি তত বেশি নিজেকে পরিবর্তন করা সহজ হয়। ভালোবাসা উস্তাদ নোমান আলীকে।</t>
  </si>
  <si>
    <t>বাগেরহাটের একটি অঞ্চলে ধর্মীয় বিদ্বেষ থেকে সৃষ্ট দাঙ্গায় উগ্রবাদী গোষ্ঠী সংখ্যালঘু হিন্দু সম্প্রদায়ের ওপর বর্বরোচিত হামলা চালায়। পুলিশ ভিড় নিয়ন্ত্রণে আনতে চেষ্টা করলেও, সহিংসতা ছড়িয়ে পড়ে। অন্তত ৬৩ জন নিহত হন এবং বহু মানুষ গুরুতর আহত হয়। যারা বাঁচতে পারে তারা নিরাপত্তার জন্য গ্রাম ছেড়ে পালিয়ে যায়, বহু পরিবার গৃহহীন হয়ে পড়ে। স্থানীয় প্রশাসন সহায়তা দিতে ব্যর্থ হওয়ায় পরিস্থিতি আরো খারাপ হয়।</t>
  </si>
  <si>
    <t>ইসলাম অবমাননার গুজবে পাবনার সাঁথিয়ায় শতাধিক হিন্দু বাড়িতে অগ্নিসংযোগ করা হয় এবং অনেককে বাস্তুচ্যুত করা হয়।</t>
  </si>
  <si>
    <t>তারা সবাই মুসলিম নামধারী, স্বাধীনতা পেলে এই পরিচয় মুছে ফেলতো।</t>
  </si>
  <si>
    <t>হিন্দু ধর্ম অনুসারে, অন্য ধর্মের মানুষের সাথে খাওয়ার ক্ষেত্রে অনেক সময় আলাদা পাত্রে রান্না করা এবং আলাদা জায়গায় খাওয়ার পরামর্শ দেওয়া হয়, যাতে সবার জন্য উপযুক্ত পরিবেশ নিশ্চিত হয়।</t>
  </si>
  <si>
    <t>সিরাজগঞ্জে হিন্দু-মুসলিম দাঙ্গায় অন্তত ৩০ জন প্রাণ হারায় এবং পরিস্থিতি শান্ত করতে কঠোর ব্যবস্থা নেওয়া হয়।</t>
  </si>
  <si>
    <t>এইরকমের একটা পবিত্র কোরআনের উপরে অবহেলা ও অবমাননা তা মেনে নেওয়ার মতো না আমরা সবাই যার যার স্থান থেকে তার প্রতিবাদ জানাই!!</t>
  </si>
  <si>
    <t>স্থানীয় সেনাবাহিনী বাঙালি হিন্দুদের ওপর গণহত্যা চালায়। শাঁখেরীবাজার জনশূন্য হয়ে পড়ে, রাস্তায় শুধু হিন্দুদের মৃতদেহ ছিল। অনেকেই বুড়িগঙ্গা পেরিয়ে কেরাণীগঞ্জে পালিয়ে যান। পরবর্তীতে রাস্তার নাম পাল্টে টিক্কা খান রোড রাখা হয়।</t>
  </si>
  <si>
    <t>ধর্মীয় বিদ্বেষ ছড়িয়ে অন্যতম বড় হামলার ঘটনা ঘটে ২০১২ সালে ফেসবুকে কোরান শরীফ অবমাননার অভিযোগ এনে কক্সবাজারের রামুতে বেশ কয়েকটি বৌদ্ধ মন্দিরও বসতিতে আগুন দেয়া হয়।</t>
  </si>
  <si>
    <t>ধর্মীয় মূল্যবোধকে অপ্রত্যাশিত শব্দে বিকৃত করছে। ধর্মীয় গ্রন্থ, প্রথা ও বিশ্বাসকে উপেক্ষা করে বিভিন্ন মতপার্থক্যের সৃষ্টি করছে।</t>
  </si>
  <si>
    <t>কিশোরগঞ্জে হিন্দু-মুসলিম সংঘর্ষে পরিস্থিতি শান্ত করতে সেনা মোতায়েন করা হয়। অন্তত ২৯ জন নিহত হয়।</t>
  </si>
  <si>
    <t>ঝিনাইদহে আজ মানবতা ও ধর্মীয় সম্প্রীতি বিপন্ন, একদল ধর্মবিদ্বেষী রক্তপিপাসু গণহত্যা চালাচ্ছে।</t>
  </si>
  <si>
    <t>ধর্মীয় শিক্ষা গ্রহণে বাধা দেয়ার জন্য কিশোরীদের মুখে অ্যাসিড নিক্ষেপ করা হয়, যার ফলে তারা চিরতরে অন্ধ হয়ে যায়; হামলায় ১৯ জন নিহত হন।</t>
  </si>
  <si>
    <t>"তুমি মুসলিম। মালাউনেরা তোমার বিরুদ্ধে ষড়যন্ত্র করছে" ব্যস! সাথে সাথেই দেখবে ঠিক এই জাতিই ঢাল তলোয়ার নিয়ে আবার কচু কাঁটা করে দিবে ঐ হিন্দু সম্প্রদায় কেই।</t>
  </si>
  <si>
    <t>তুরস্কের অটোমান সাম্রাজ্যের অধীনে যত মুসলমান ছিল, তার চেয়েও বেশি সংখ্যক মুসলমানদের শাসক ছিলেন রানী ভিক্টোরিয়া।</t>
  </si>
  <si>
    <t>খাজা নাজিমুদ্দিন শুরুতে শান্তির আহ্বান জানালেও পরে বলেন, আহতরা সবাই মুসলমান, আর প্রতিশোধ শুধু আত্মরক্ষার জন্য ছিল।</t>
  </si>
  <si>
    <t>ধর্মের মূল উদ্দেশ্যই হলো মানুষে মানুষে ভ্রাতৃত্ব স্থাপন, ভালোবাসা ও সহানুভূতির পরিবেশ গড়ে তোলা।</t>
  </si>
  <si>
    <t>আমাদের বিশ্ব নবীকে নিয়ে বাজে/ভুয়া/বানোয়াট কথা বলার অধিকার বা সাহস তোর কি করে হয়।</t>
  </si>
  <si>
    <t>ওকলাহোমায় থাকার সময়ে যখন এর অনুসারীরা তাদের প্রচারণা চালাচ্ছিল তখনই মন্দিরটি সম্পর্কে জানতে পারি আমি।</t>
  </si>
  <si>
    <t>আনুমানিক ৩০০ বাঙালি হিন্দু হত্যার শিকার হয়। এই গণহত্যায় ৫ বছরের শিশু থেকে শুরু করে ৮০ বছরের বয়সী নারী-পুরুষ নিহত হয়েছিল। ৫ শতাধিক ঘর পুড়ে ছাই হয়ে গিয়েছিল।</t>
  </si>
  <si>
    <t>২০১৫ সালের ডিসেম্বর মাসে এক গোষ্ঠী ধর্মীয় কারণে নারীকে গণধর্ষণ করে হত্যা করে, প্রতিবাদে আরও ১২ জন নিহত হয়।</t>
  </si>
  <si>
    <t>২০১৫ সালের সেপ্টেম্বরে এক গোষ্ঠী ধর্মীয় বই বিতরণের কারণে এক যুবককে নির্মমভাবে হত্যা করা হয়; ঘটনার প্রতিবাদে ১২ জন প্রাণ হারান।</t>
  </si>
  <si>
    <t>প্রতিমা, পূজামণ্ডপ, মন্দিরে ভাংচুর ও অগ্নিসংযোগের ঘটনা ঘটেছে ১ হাজার ৬৭৮টি। এসব হামলায় আহত হয়েছে ৮৬২ জন হিন্দু ধর্মাবলম্বী। নিহত হয়েছে ১১ জন।</t>
  </si>
  <si>
    <t>যদি নিহত ব্যক্তি নির্দোষ হন, তবে দোষীদেরও একইভাবে শাস্তি দেওয়া উচিত — পিটিয়ে আগুনে পুড়িয়ে।</t>
  </si>
  <si>
    <t>হিন্দু সম্প্রদায়ের মধ্যে অনেকেই অন্য ধর্মের উৎসবকে নানাভাবে অবমূল্যায়ন করে যা সাম্প্রদায়িক উত্তেজনা সৃষ্টি করে।</t>
  </si>
  <si>
    <t>১৭ অক্টোবর রবিবার রাত ১০টায় ফেসবুকে ইসলাম বিদ্বেষী মন্তব্য করার অভিযোগে ইসলাম ধর্মাবলম্বীরা রংপুর জেলার পীরগঞ্জ উপজেলার রামনাথপুর ইউনিয়নের হিন্দু অধ্যুষিত মাঝিপাড়া, বটতলা ও হাতীবান্ধা গ্রামে আক্রমণ করে।</t>
  </si>
  <si>
    <t>কোনো ধর্মকেই ছোট করা বা সেই ধর্মকে নিয়ে কুটূক্তি করা উচিত নয়। যারা এসব করে তাদের বিরুদ্ধে প্রশাসনের কঠোর ব্যবস্থা নেয়া উচিত সে যে ধর্মের লোকই হোকনা ক্যানো।</t>
  </si>
  <si>
    <t>কঠিন চীবর দান, বৌদ্ধ ধর্মের একটি ধর্মীয় আচার, ও উৎসব, যা সাধারণত বাংলা চন্দ্রপঞ্জিকা অনুযায়ী প্রবারণা পূর্ণিমা পালনের এক মাসের মধ্যে যেকোনো সুবিধাজনক সময়ে পালন করা হয়।</t>
  </si>
  <si>
    <t>সতীত্ব রক্ষার নামে স্বামীর অন্যায় হত্যায় ক্ষুব্ধ কন্নগী ধর্মীয় বিচারপ্রথার বিরুদ্ধে প্রতিশোধ নেয় মাদুরাই ধ্বংস করে আত্মাহুতি দেন যেন অন্যায়ে নিহত নিরীহদের আত্মা শান্তি পায়।</t>
  </si>
  <si>
    <t>কোনো মতবাদের অপমান করা হয়নি, শুধুমাত্র সনাতন ধর্মের সাথে অন্য মতবাদের পার্থক্য কোথায় রয়েছে সেটিই তথ্য প্রমাণ সহ তুলে ধরা হয়েছে।</t>
  </si>
  <si>
    <t>বৌদ্ধ ভিক্ষুদের ত্রি-চীবর নামে বিশেষ পোশাক দান করা হয় এবং ধর্মাবলম্বীরা প্রতি বছর পূণ্যের আশায় চীবরসহ আনুষঙ্গিক সামগ্রী দান করেন।</t>
  </si>
  <si>
    <t>কাল তোমরা চীৎকার করে বলবে ‘মালাউনেরা আমাদের বিরুদ্ধে,’ তারপর তোমরা ঢাল তলোয়ার নিয়ে হিন্দুদের হত্যা করবে, আর তোমাদের ধর্মের নামে ফেসবুকে হাদিস দিয়ে তাদের বিরুদ্ধে অপপ্রচার চালাবে।</t>
  </si>
  <si>
    <t>হিন্দু অধিকারের নামে সংখ্যাগরিষ্ঠ মুসলিমদেরকে ক্ষুদ্রধর্মীয় তথা হিন্দু রিতি মেনে চলতে বাধ্য করা গুরুতর অন্যায় ও সংবিধান পরিপন্থী আচারন, এটা সহ্য করা যায় না ।</t>
  </si>
  <si>
    <t>এটা শুধুমাত্র তখনি ঘটে যখন মানুষের গভীর বিশ্বাসকে আঘাত করা হয় অথবা তারা মনে করে, তাদের বিশ্বাস নিয়ে প্রশ্ন তোলা হয়েছে। তখন সেটি রাগ বা সহিংসতার মধ্য দিয়ে বেরিয়ে আসে।</t>
  </si>
  <si>
    <t>ইসলাম স্বামী থেকে স্বাধীনতা শেখায় না।</t>
  </si>
  <si>
    <t>এই দেশে মন্দিরে হামলা, হিন্দুদের ঘরবাড়ি ভাঙচুর আর নারীদের অপমান এখন সাধারণ ঘটনা হয়ে দাঁড়িয়েছে। ধর্মের নামে এই বর্বরতা বন্ধ না হলে শান্তিপ্রিয় মানুষদের সহ্যের সীমা ছাড়িয়ে যাবে।</t>
  </si>
  <si>
    <t>২০২২ সালের ১৫ ফেব্রুয়ারি, বরিশালের বানারীপাড়ায় একটি হিন্দু মন্দিরে ঢুকে কালী ও মহাদেবের প্রতিমা ভাঙচুর করা হয়।</t>
  </si>
  <si>
    <t>বাংলাদেশে আলেম সমাজ সাধারণত ধর্ম নিয়ে সহিংসতা করে না, যদিও অভ্যন্তরীণ মতবিরোধ আছে। পাশ্ববর্তী দেশে ঠুনকো ধর্মীয় কারণে মুসলিম হত্যার উদাহরণ রয়েছে, বাংলাদেশেও বিরল কিছু ঘটনা ঘটেছে।</t>
  </si>
  <si>
    <t>যশোরের একটি মসজিদে ককটেল নিক্ষেপ করে অগ্নিসংযোগের চেষ্টা চালানো হয়, তবে সময়মতো ব্যবস্থা নেওয়ায় বড় ক্ষতি রোধ করা হয়।</t>
  </si>
  <si>
    <t>বাংলাদেশের সংবিধান ইচ্ছাকৃতভাবে পাহাড়িদের সংস্কৃতি ও অ-মুসলিমদের অস্তিত্ব মুছে ফেলেছে এটা সংখ্যাগরিষ্ঠদের দমননীতি।</t>
  </si>
  <si>
    <t>তুমি পারবেনা ইসলামের সংখ্যা কমাতে: দিন দিন এর সংখ্যা বেড়েই যাবে : সারা পৃথিবীর জড়িফ করে দেখ:</t>
  </si>
  <si>
    <t>মাধুরাই এবং কাঁঠালখই এলাকার হিন্দুদেরকেও প্রহার করা হয় এবং তারা জোরপূর্বক ধর্মান্তরকরণের শিকার হয়। গোলাপগঞ্জ পুলিশস্টেশনের ফুলসাইন গ্রামের বৈকুণ্ঠ রায় এবং রাসবিহারী রায়ের বাড়িও লুট হয়।</t>
  </si>
  <si>
    <t>১৯ শতকের শুরু থেকে এ বিতর্কের জের ধরে হিন্দু-মুসলিম সম্প্রদায়ের মধ্যে একাধিক কলহের ঘটনা ঘটে এবং পাল্টাপাল্টি আদালতে মামলা দায়ের চলতে থাকে। এরপরই সরকার দাঙ্গা ঠেকানোর অভিপ্রায়ে পুরো মসজিদকে সিলগালা করে দেয়।</t>
  </si>
  <si>
    <t>১৯৯০ থেকে ১৯৯৩ পর্যন্ত বাংলাদেশে বাবরী মসজিদ ধ্বংসের গুজবের কারণে মুসলিমদের হিন্দু বিরোধী সহিংসতা ও ঢাকেশ্বরী মন্দির আক্রমণ ঘটে।</t>
  </si>
  <si>
    <t>মুসলিম প্রধান দেশগুলো নিরব থাকায় পুরুষত্বহীন সরকারদের ভূমিকা পালন করছে।</t>
  </si>
  <si>
    <t>একটি গোষ্ঠী কুরআন পোড়ানোর পাশাপাশি ইসলামবিরোধী স্লোগান দেয় এবং সামাজিক মাধ্যমে বিষয়টি শেয়ার করে।</t>
  </si>
  <si>
    <t>গানবাজনা হালাল নাকি হারাম, সে তর্কে আমি যেতে চাচ্ছি না। কিন্তু ধর্মের পথে থাকা, সৃষ্টিকর্তার উপাসনা করা- দুনিয়াবি যে কোনো কাজের থেকে অবশ্যই উত্তম।</t>
  </si>
  <si>
    <t>কুরআন মূলত একক "আল্লাহর রাসূল" কে সম্বোধন করেছেন, যাকে বেশ কয়েকটি আয়াতে মুহাম্মাদ হিসাবে উল্লেখ করা হয়েছে।</t>
  </si>
  <si>
    <t>এই শহরে ধর্মীয় উগ্রবাদীরা একটি বাসে হামলা চালিয়ে ২৮ খ্রিস্টানকে গুলি করে হত্যা করে, যাদের মধ্যে কেউ কেউ ধর্ষণের শিকার হয়ে পরে আত্মহত্যা করে অথবা নির্মমভাবে প্রাণ হারায়।</t>
  </si>
  <si>
    <t>জওহর মূলত যুদ্ধে পরাজিত মহীয়সী মহিলাদের জন্য স্ব-নির্বাচিত মৃত্যু ছিল এবং বিশেষ করে যোদ্ধা রাজপুতদের মধ্যে অনুশীলন করা হয়েছিল।</t>
  </si>
  <si>
    <t>কেরানীগঞ্জে সংঘর্ষের সময় ৪০ জন নিহত হন। পুলিশ পরিস্থিতি নিয়ন্ত্রণে আনার জন্য লাঠিচার্জ করে, তবে জনতা তাদের প্রতিহত করে। অনেক পরিবার পালিয়ে যায়।</t>
  </si>
  <si>
    <t>চাঁদপুরে ধর্মীয় দাঙ্গায় ৪২ জন প্রাণ হারায়। পুলিশ সহিংসতা দমনে ব্যর্থ হয়, সরকার শান্ত থাকার আহ্বান জানায়। অনেক পরিবার নিরাপত্তার জন্য গ্রাম ছেড়ে চলে যায়।</t>
  </si>
  <si>
    <t>গুপ্ত সাম্রাজ্যের শক্তিশালী শাসন শেষে হিন্দুত্বের প্রভাবে স্থানীয় রাজারা বৌদ্ধ ধর্ম থেকে হিন্দু ধর্মের দিকে ঝুঁকে পড়ে এবং ব্রাহ্মণদের সাথে মিত্রতা গড়ে তোলে।</t>
  </si>
  <si>
    <t>২০১৪ সালের নভেম্বর মাসে ধর্মীয় বিরোধের জেরে এক মসজিদে গ্যাস সিলিন্ডার বিস্ফোরণ ঘটে, এতে ৩৫ জন নিহত হয় এবং শতাধিক লোক আহত হয়।</t>
  </si>
  <si>
    <t>যেকোন ধর্মগ্রন্থকে অবমাননা করা খুবই খারাপকাজ এর নিন্দা জানাই।</t>
  </si>
  <si>
    <t>আল্লাহ তা'আলা আমাদের সকল মুসলমান ভাই-বোনদেরকে হেফাজত করুন এবং সেই সাথে সঠিক পথে চলার তাওফিক দিন, আমিন। এবং সেই সাথে কুরআন শরিফ নিয়ে যে বা যারা পুড়িয়েছে, আল্লাহ তাদেরকে ধ্বংস করে দিন, আমিন।</t>
  </si>
  <si>
    <t>মানুষ বিভিন্ন জায়গায় বিভিন্ন ধর্ম প্রচার করে কারণ বিভিন্ন ধর্মের স্রষ্টারা বিচ্ছিন্ন ছিল এবং তারা জানত না যে অন্য কোথাও অন্য ধর্মের সৃষ্টি হয়েছে। অথবা এমনকি যদি তারা জানত, তারা তাদের সামাজিক মূল্যবোধের সাথে মানিয়ে নিতে নিয়মগুলি সংশোধন করতে চাইত।</t>
  </si>
  <si>
    <t>গত পাঁচ বছরে বাংলাদেশে একাধিক সন্ত্রাসী হামলায় ২০০’র বেশি মানুষ নিহত হয়। এতে দেশীয় কট্টর দলগুলো প্রেসিডেন্টের উপর চাপ সৃষ্টি করছে।</t>
  </si>
  <si>
    <t>দ্বিতীয় বিশ্বযুদ্ধে বসনিয়ায় ১ লাখ ২০ হাজার মুসলমানকে হত্যা করা হয়</t>
  </si>
  <si>
    <t>এক তরুণ তার বোনকে ধর্মীয় গোষ্ঠী থেকে বাঁচাতে গিয়ে হত্যার শিকার হয়, কারণ সে ধর্মত্যাগে সহায়তা করেছিল; ঘটনার সময় আরও ১২ জন প্রাণ হারান।</t>
  </si>
  <si>
    <t>আবওয়া অভিযান বা গাজওয়ায়ে আবওয়া[১] ২ হিজরির সফর মাসে (আগস্ট ৬২৩ খ্রিষ্টাব্দ) সংঘটিত হয়।[২] ৭০জন সদস্য নিয়ে গঠিত বাহিনীকে মুহাম্মাদ এই অভিযানে নেতৃত্ব দিয়েছেন। কুরাইশ কাফেলার পথরোধ করার জন্য তিনি এই অভিযানের নেতৃত্ব দেন।</t>
  </si>
  <si>
    <t>আত্মহত্যাকারী ব্যক্তি শুধু নিজের নয়, বরং তার পরিবার, আত্মীয়স্বজন এবং বন্ধুদের জীবনেও দুঃখ ও ক্ষতির কারণ হয়। ইসলাম ধর্ম মতে, আত্মহত্যা একটি মহাপাপ এবং এর শাস্তি কঠোর।</t>
  </si>
  <si>
    <t>টাঙ্গাইলে ধর্মীয় দ্বন্দ্বে সংখ্যালঘু সম্প্রদায়ের ওপর হামলায় অন্তত ৩৯ জন নিহত হন। হামলাকারীরা তাদের সম্পত্তি লুটপাট ও অগ্নিসংযোগ করে।</t>
  </si>
  <si>
    <t>বাংলাদেশ হিন্দু ধর্মের রাষ্ট্র নয় বলে কিছু দেশ নিন্দা জানালে বাংলাদেশ তা জানাতে পারে না। দেশের প্রধানমন্ত্রীর ব্যক্তিগত বিষয় নিয়ে সমস্যা থাকায় নিন্দা জানানো কঠিন।</t>
  </si>
  <si>
    <t>উল্লেখযোগ্যভাবে, আটজন ডাবগার হিন্দু সম্প্রদায়ের একটি পরিবারকে জীবন্ত পুড়িয়ে মারা হয়েছিল এবং আগুন নেভানোর জন্য আসা দমকল বাহিনীকে আগুন নেভানোর কাজ করতে বাধা দেওয়া হয়েছিল।[১] এর প্রতিক্রিয়ায় আশেপাশের হিন্দুরা মুসলমানদের মালিকানাধীন দোকানপাট লুটপাট ও পুড়িয়ে দেয়।</t>
  </si>
  <si>
    <t>সংখ্যালঘু ধর্মীয় গোষ্ঠীর স্কুল শিক্ষার্থীরা সাধারণত স্কুলের বাইরে স্থানীয় গীর্জা বা মন্দিরে ধর্মীয় শিক্ষা গ্রহণের সুযোগ পায়।</t>
  </si>
  <si>
    <t>নেত্রকোনায় মসজিদে হামলা চালিয়ে কুরআনের পাতা ছিঁড়ে ফেলে দুর্বৃত্তরা, মুসল্লিদের মধ্যে আতঙ্ক সৃষ্টি হয়।</t>
  </si>
  <si>
    <t>২৪ আগস্ট ২০২৩ কুড়িগ্রামের উলিপুরে একটি দুর্গামন্দিরে হামলা করে প্রতিমার অলংকার এবং হাত ভেঙে দেয়</t>
  </si>
  <si>
    <t>মানবতার কল্যাণে আল্লাহ কুরআনে সকল মানুষকে শান্তি, সৌহার্দ্য এবং ভালোবাসার মাধ্যমে একত্রে জীবন কাটানোর নির্দেশ দিয়েছেন, যা ধর্মীয় বিভেদকেও অতিক্রম করে।</t>
  </si>
  <si>
    <t>শান্তি ও ভালবাসা হিন্দু ধর্মের প্রাকৃতিক অবস্থা, যা সমস্ত জীবের জন্য উপকারী।</t>
  </si>
  <si>
    <t>বারুইকে রাতে অজ্ঞাত দুর্বৃত্তরা মুসলমান ধরে নিয়ে যায় এবং গুলি করে হত্যা করে। বিনোদ বিহারী বারুই নামে অপর এক গ্রামবাসী, যিনি হামলার সময় গ্রামটি রক্ষা করেছিলেন এবং শ্বাসরোধ করে হত্যা করা হয়েছিল। পরে মামলাটি আদালত পাশাপাশি থানা থেকে নিখোঁজ হয়।</t>
  </si>
  <si>
    <t>বাবা মা ধর্মকর্ম করে না এবং সন্তানদের সনাতন ধর্মের শিক্ষা দেয় নি। ত যা হবার তা হবেই।</t>
  </si>
  <si>
    <t>২০২০ সালের জুনে এক গোষ্ঠী সংখ্যালঘুদের বাড়িঘর জ্বালিয়ে দেয়; এতে ২৭ জন নিহত হয় এবং বহু পরিবার গৃহহীন হয়।</t>
  </si>
  <si>
    <t>প্যাগোডায় প্যাগোডায় চলতে থাকে বৌদ্ধ ধর্মাবলম্বীদের দিবস উদ্‌যাপনের যাবতীয় কার্যক্রম। এছাড়া বিভিন্ন গ্রাম ও বিহারে এই দিনে মেলা বসে। সবচেয়ে বড় মেলাটি বসে চট্টগ্রামের বৈদ্যপাড়া গ্রামে, যা বোধিদ্রুম মেলা নামে সমধিক পরিচিত।</t>
  </si>
  <si>
    <t>দিনাজপুরে এক খ্রিস্টান পুরোহিতকে ধারালো অস্ত্র দিয়ে হত্যা করার চেষ্টা করা হয়, যা সাম্প্রদায়িক সহিংসতার দৃষ্টান্ত।</t>
  </si>
  <si>
    <t>আলহামদুলিল্লাহ, সেই অর্থে বাংলাদেশে কোন দাঙ্গা নেই। রয়েছে ধর্মীয় সহাবস্থান এবং সাম্প্রদায়িক সম্প্রীতি। এ সম্প্রীতিতে শকুনের চোখ পড়া অস্বাভাবিক কিছু না। তাই, সজাগ থাকতে হবে। ধীরেসুস্থে মোকাবিলা করতে হবে।</t>
  </si>
  <si>
    <t>হে আল্লাহ, আমাদের সবাইকে বেশি বেশি করে এবাদত করার তৌফিক দান করো এবং তোমাকে জান্নাতে দেখার বরকত দাও।</t>
  </si>
  <si>
    <t>এক্সপার্ট অপশন—এটা কি? এটি তোমার কোন ধরনের পরোপকার, ভাইয়া? ভেবেছিলাম তুমি সত্যি একজন ভালো মানুষ, কিন্তু এখন দেখি সবই শুধু টাকা উপার্জনের ধান্ধা। নাহলে কোনো ভালো মনের মানুষ এভাবে অবৈধ পথের বিজ্ঞাপন প্রচার করে মানুষকে ধ্বংসের দিকে ঠেলে দিতে পারে না। তোমার মুখের বাণী আর ভিতরের চরিত্র যেন সম্পূর্ণ ভিন্ন।</t>
  </si>
  <si>
    <t>বৌদ্ধ ধর্মে অহিংসাই শ্রেষ্ঠ ধর্ম বলা হয়েছে। কোনো প্রাণীর ক্ষতি না করে সহানুভূতির সাথে আচরণ করতে উৎসাহ দেওয়া হয়।</t>
  </si>
  <si>
    <t>আল্লাহর নির্দেশ মেনে চলার মাধ্যমে আমরা সত্যিকারের সফলতা অর্জন করি, যার ফলে পরকালেও আমাদের জন্য মুক্তির পথ প্রশস্ত হয়।</t>
  </si>
  <si>
    <t>সমগ্র সৃষ্টির একমাত্র স্রষ্টা মহান আল্লাহ তায়ালার সাক্ষাৎ লাভ করা এ যেন কল্পনার অসীম চিন্তাকেও হার মানায়।</t>
  </si>
  <si>
    <t>২৭ শে মার্চ ১৯৩৪-এ, অযোধ্যায় একটি হিন্দু-মুসলিম দাঙ্গা সংঘটিত হয়েছিল, যা নিকটবর্তী শাহজাহানপুর গ্রামে গরু জবাইয়ের কারণে শুরু হয়েছিল। দাঙ্গার সময় মসজিদের চারপাশের দেয়াল এবং মসজিদের একটি গম্বুজ ক্ষতিগ্রস্ত হয়।</t>
  </si>
  <si>
    <t>তাদেরকে ধর্ম রক্ষা করতে হিন্দু অনুসারী বাড়াতে একটা মন্দির তৈরী করতে, পুজা করতে একটুকরা জমি ও কিছু টাকা দিতে বললে, এমনকি এসে সহযোগিতা করতে বললে তারা আসে না, কিন্তু তাদের মনোভাব সব সময় সহানুভূতিশীল।</t>
  </si>
  <si>
    <t>তারা হিন্দুদের বাড়িঘর, ব্যবসা প্রতিষ্ঠান ও মন্দিরে হামলা, ভাঙচুর, অগ্নি সংগোযোগ ও লুটপাট চালায়। ক্ষতিগ্রস্থ হয় মোট ৬৬টি পরিবার।</t>
  </si>
  <si>
    <t>এই চ্যানেলটির প্রতিষ্ঠা যাঁরা করেছেন, তাদেরকে আল্লাহ রব্বুল আলামিন যেন দুনিয়া ও আখিরাতের কামিয়াবি দান করেন! আমীন, ইয়া রব্বাল আলামিন!</t>
  </si>
  <si>
    <t>রোজা শুধু না খেয়ে থাকা নয়, বরং আত্মনিয়ন্ত্রণ ও আত্মশুদ্ধির একটি প্রশিক্ষণ।</t>
  </si>
  <si>
    <t>ধর্ম পালন নিয়ে আমাদের সবাইকে নিজের অন্তর ও মনোভাব যাচাই করা উচিত, কারণ প্রকৃত ধর্মীয় আচরণ humildity ও সততা নিয়ে করা উচিত।</t>
  </si>
  <si>
    <t>দেশের সাম্প্রদায়িক সম্প্রীতি নষ্ট করে ফায়দা হাসিলের একটা পরিকল্পিত নীলনকশা হতে পারে। এগুলো বাংলাদেশের ঈর্ষণীয় সাম্প্রদায়িক সম্প্রীতি বিনষ্ট করার গভীর চক্রান্তের অংশ। দু-এক বছর পর পর পুজার সময় এলেই কিছু দুষ্কৃতিকারী রাজনৈতিক ফায়দা হাসিলের উদ্দেশ্যে ধর্মীয় উত্তেজনা ছড়িয়ে দাঙ্গা লাগানোর চেষ্টা করে।</t>
  </si>
  <si>
    <t>বাংলাদেশ নামের মুসলিম দেশের মুখোশ পরে যারা বসে আছে, তারা পয়গম্বরকে অপমানের পরও একবার মুখ খোলেনি—এরা ইসলামবিরোধী বিশ্বাসঘাতক।</t>
  </si>
  <si>
    <t>ওই বছরের ৫ জানুয়ারি জাতীয় নির্বাচন হয়েছিল। এর পরবর্তী সহিংসতার শিকার হন হিন্দুরা। ৭৬১টি হিন্দু বাড়ি-ঘর, ১৯৩টি ব্যবসা প্রতিষ্ঠান ও ২৪৭টি মন্দির-মণ্ডপে হামলা হয় ওই বছর। তখন নিহত হন একজন।</t>
  </si>
  <si>
    <t>গড়পার এলাকায় ভয়ানক হত্যাকাণ্ড শুরু হয়েছে। খালের পশ্চিমপাড়ে হিন্দুদেরকে পাইকারিভাবে হত্যা করা হচ্ছে। হিন্দুদের ঘর-বাড়ি জ্বালিয়ে দেওয়া হচ্ছে</t>
  </si>
  <si>
    <t>বগুড়ায় মসজিদের পাশে বাজনা বাজানো নিয়ে সংখ্যালঘুদের উপর হামলা চালায় উগ্র গোষ্ঠী।</t>
  </si>
  <si>
    <t>ইসলামি আক্বিদা ও জীবনব্যবস্থায় হতাশা এবং হীনম্মন্যতার জায়গা নেই। মুমিনদের বিশ্বাস, জীবনের শেষ সীমা মৃত্যু নয়।</t>
  </si>
  <si>
    <t>মামলা এবং আপসনামা মূলে এই জমির মালিক কান্তনগর গ্রাম জামে মসজিদ।১৯৭৬ সালে দিনাজপুরের ডিসি উক্ত জমি তাদেরকে দিয়েছেন। গ্রামবাসীর নিকট তিন পৃষ্ঠার আপসনামার কপি রয়েছে। কান্তনগর গ্রাম জামে মসজিদে মুসল্লীদের জায়গার সংকুলান না হওয়ায় সম্প্রতি মসজিদটি পুন:নির্মাণের লক্ষ্যে ভেঙে ফেলা হয়। এবং নতুন ভাবে নির্মাণের জন্য কাজ শুরু করা হয়।</t>
  </si>
  <si>
    <t>ওদের ধর্ম মানেই ভণ্ডামি আর প্রতারণা, আমরা কেন সহ্য করবো এসব অন্ধবিশ্বাস?</t>
  </si>
  <si>
    <t>যে মানুষটি সবাইকে নিয়ে হিন্দু-মুসলিম শিখ, ইশাই,, আদিবাসী তপশিলি, খ্রিস্টান, মতুয়া নব শুদ্ধ, দলিত সমস্ত জনজাতি কে নিয়ে চলতে পারবে সেই দেশের আসল নেতা, আমরা পশ্চিমবঙ্গবাসী তার সাথে আছি।</t>
  </si>
  <si>
    <t>ধর্মের মাধ্যমে মানুষ আত্মশুদ্ধির পথ অনুসরণ করে। এটি তাকে পরিপূর্ণ হতে এবং নিজের আচরণ ও চিন্তা নিয়ে সচেতন হতে সহায়তা করে।</t>
  </si>
  <si>
    <t>এক হিন্দু যুবক কর্তৃক সামাজিক যোগাযোগ মাধ্যমে জনপ্রিয় ইসলামি পণ্ডিত মামুনুল হককে কটুক্তির অভিযোগে ১৭ মার্চ, ২০২১ খ্রিস্টাব্দে সুনামগঞ্জের নোয়াগাঁও গ্রামে হিন্দু সম্প্রদায়ের শতাধিক বাড়িঘরে হামলার ঘটনা ঘটে।</t>
  </si>
  <si>
    <t>২০১৯ সালের ডিসেম্বর মাসে এক ধর্মীয় গোষ্ঠী সংখ্যালঘুদের শিক্ষাপ্রতিষ্ঠানে ভর্তির অনুমতি দেয় না; ফলে ২৩ জন আত্মহত্যা করে।</t>
  </si>
  <si>
    <t>উগ্রপন্থীরা হিন্দুদের থেকে প্রায় ৫০টি গরু, ছাগল, হাস-মুরগি নিয়ে যায়, ঘরবাড়ি ও মন্দিরে লুটপাট চালিয়ে আগুন দেয়, এক মন্দির আগুনে ভস্মীভূত হয়।</t>
  </si>
  <si>
    <t>খ্রিস্টান সম্প্রদায়ের কিছু ব্যক্তি ধর্মান্তরের মাধ্যমে দেশের সংস্কৃতি বিনষ্ট করছে এবং সমাজে বিভাজন সৃষ্টি করছে।</t>
  </si>
  <si>
    <t>আল্লাহর ওপর ভরসা রেখে আমরা ইতিবাচক পরিবর্তনের আশা করি, কারণ সৎ উদ্দেশ্য থাকলে আল্লাহ নিশ্চয়ই উত্তম ফল দান করেন।</t>
  </si>
  <si>
    <t>সারা পৃথিবীতে সন্ত্রাস সৃষ্টিকারী ইসলামী জঙ্গিরা।</t>
  </si>
  <si>
    <t>মসজিদের জুমার খুতবায়, কিংবা ওয়াজ মাহফিলে এসব সামাজিক সমস্যা ও আত্মহত্যা থেকে উত্তরণে ইসলামের শিক্ষাগুলোকে সুস্পষ্ট এবং বোধগম্যভাবে তুলে ধরা জরুরি।</t>
  </si>
  <si>
    <t>এক মেয়ে মুসলিম যুবককে ভালোবাসায় পরিবার তাকে 'অপবিত্র' ঘোষণা করে হত্যা করে; প্রতিবাদে ১৩ জন নিহত হন।</t>
  </si>
  <si>
    <t>তিনি দাবি করেন, চলতি বছরে ৫০১টি সংঘবদ্ধ হামলা, ৫৬টি মন্দিরে হামলা, ভাংচুর ও অগ্নিসংযোগ, ২১৯টি প্রতিমা ভাঙচুর, ৫০টি প্রতিমা চুরি, ৭৭ জনকে অপহরণ, ১৫ জনকে অপহরণের চেষ্টা করা হয়েছে।</t>
  </si>
  <si>
    <t>সরকারী পরিসংখ্যান অনুযায়ী, ১৯৫৪ থেকে ১৯৮২ এবং ১৯৬৮ থেকে ১৯৮০ সালের মধ্যে ৬,৯৩৩টি সাম্প্রদায়িক সহিংসতার ঘটনা ঘটে, যেগুলোতে মোট ৩,৯৯৯ জন নিহত হন, যার মধ্যে ৫৩০ জন হিন্দু ও ১,৫৯৮ জন মুসলিম ছিল।</t>
  </si>
  <si>
    <t>এক গোষ্ঠী সংখ্যালঘুদের স্কুলে হামলা চালিয়ে ২৪ জন ছাত্র নিহত হয়।</t>
  </si>
  <si>
    <t>কাবা শরীফের ছবিতে পরিতোষ সরকার নামে এক কিশোর আপত্তিকর মন্তব্য করেছে করলে ধর্মীয় অনুভূতিতে আঘাত লাগে, যা গ্রামে ধর্মীয় উত্তেজনা সৃষ্টি করে।</t>
  </si>
  <si>
    <t>আরব বিশ্ব এখন কেন চুপ? আল্লাহ হর্তাকর্তাদের ক্ষমা করবেন না, নির্যাতিত মুসলিমদের সহায়তা করুন।</t>
  </si>
  <si>
    <t>সুইডেনে প্রকাশ্যে মুসলিম নারীদের মাথার স্কার্ফ টেনে ছিঁড়ে ফেলা হয় এবং তাদের শারীরিকভাবে লাঞ্ছিত করা হয়।</t>
  </si>
  <si>
    <t>ইসকন সদস্যরা মন্দিরের বাইরে রাস্তায় মন্ত্রপাঠ ও সেমিনারের মাধ্যমে তাদের মতবাদ ছড়িয়ে দেন।</t>
  </si>
  <si>
    <t>বাম, নাস্তিক ও দাদা বাবুদের খুশি করার জন্য ৯০% মুসলমানের দেশে কুরআন তেলাওয়াতের কারনে ছাত্রদেরকে বহিষ্কার করার উদ্যোগ নেওয়ার এতো বড় সাহস ওনারা পায় কোথায়?</t>
  </si>
  <si>
    <t>বরিশালের নৌ বন্দরের মুলাদী পুলিশ স্টেশনে আশ্রয় নেওয়া শত শত হিন্দুকে পুলিশ স্টেশন কম্পাউন্ডে মুসলিমরা নির্মমভাবে হত্যা করে।</t>
  </si>
  <si>
    <t>ব্রাহ্মণবাড়িয়ায় সংঘর্ষে ৪১ জন প্রাণ হারায়। পুলিশ নিরাপত্তা দিতে ব্যর্থ হয়। অনেক পরিবার আশ্রয়হীন হয়ে যায়।</t>
  </si>
  <si>
    <t>গুজবে গরুর মাংস খাওয়ার অভিযোগে মুহাম্মদ আখলাক নামের এক মুসলিমকে নির্মমভাবে পিটিয়ে হত্যা করা হয়, যার পর আতঙ্কে ওই এলাকার আরও কয়েকজন স্থানত্যাগে বাধ্য হয়।</t>
  </si>
  <si>
    <t>তাসকিনের বউ বোরকা পরবে নাকি অন্যকিছু তা নিয়ে এই ব্যাক্তি বলার কে? অন্য কোন ধর্মের হলে এতক্ষণ সেও মানূষ এই কাহিনি প্রচারিত হত।</t>
  </si>
  <si>
    <t>এদের চোখে আমাদের পরিচয় আমরা 'ধর্মান্ধ'। আমরা ধর্মব্যবসায়ী। টিভি চ্যানেল থেকে সরকারী প্রতিষ্ঠান সব জায়গায় ধর্মান্ধতার ধোঁয়া তুলে এরা আমাদেরকে এবং আমাদের প্রতিষ্ঠান লাইফস্প্রিং কে একঘরে করে রাখার সমস্ত কৌশল অব্যাহত রেখেছে।</t>
  </si>
  <si>
    <t>আত্মশুদ্ধি এবং আত্মসংযম ধর্মের অন্যতম মূল শিক্ষা।</t>
  </si>
  <si>
    <t>এক গোষ্ঠী ধর্মীয় ভিন্নমত থাকার কারণে এক মসজিদে হামলা চালিয়ে ২৭ মুসলিম নিহত করে।</t>
  </si>
  <si>
    <t>৭ ই মার্চ, লালমনিরহাটের হাতীবান্ধা উপজেলায় হিন্দু দেবী কালী'র একটি মূর্তি নষ্ট করা হয় এবং একটি হিন্দু মন্দিরে আগুন দেওয়া হয়।</t>
  </si>
  <si>
    <t>এক গোষ্ঠী ধর্মীয় মেলায় গুলি চালিয়ে ১৮ জন নিহত করে।</t>
  </si>
  <si>
    <t>হামলার সময় প্রতিমা, পূজামণ্ডপ ভাঙচুর ও হিন্দু ধর্মাবলম্বীদের মারধর করা হয়।হামলাকারীরা বুধবার সন্ধ্যায় কুমিল্লার নানুয়া দিঘির উত্তরপাড় পূজামণ্ডপের দুর্গা প্রতিমাটি পার্শ্ববর্তী একটি পুকুরে ফেলে দেয়।</t>
  </si>
  <si>
    <t>এবার তাকে জিজ্ঞেস করি, ফেসবুকে যে সত্যি সত্যিই একজন হিন্দু সম্প্রদায়ের কেউ ইসলামের অবমাননা করেছে, সেটা তিনি কিভাবে নিশ্চিত হচ্ছেন?</t>
  </si>
  <si>
    <t>ওসির সংকেতে দুপুর ১২ টার দিকে ৩,০০০ জন শক্তিশালী সশস্ত্র মুসলিম জনতা গুদামে হামলা চালায়। ৭০০ জনেরও বেশি পুরুষ ও বয়স্ক মহিলাদের গণহত্যা করা হয়েছিল এবং তাদের মৃতদেহ নদীতে ফেলে দেওয়া হয়েছিল। অবশিষ্ট মহিলাদের মুক্তেশ্বর সাহার একটি শেডে নিয়ে যাওয়া হয় এবং কলমা পাঠ করতে বাধ্য করা হয়। এর পর দলের নেতাদের মধ্যে ৫০ জন মহিলাকে বিতরণ করা হয়।</t>
  </si>
  <si>
    <t>নবীর কার্টুন: কুড়িগ্রামে ইসলামের 'অবমাননা' নিয়ে ইসলামপন্থীদের ব্যাপক বিক্ষোভ।</t>
  </si>
  <si>
    <t>ধর্ম প্রাচীনকাল থেকে প্রজন্মের পর প্রজন্মে চলে আসা একটি ধারণা, যা সত্য হিসেবে গৃহীত হয়েছে; কোনো নির্দিষ্ট ধর্মের কথা বলা হয়নি।</t>
  </si>
  <si>
    <t>বৌদ্ধদের কিছু তরুণ ধর্মীয় মঞ্চে অন্য ধর্মাবলম্বীদের সম্পর্কে অবজ্ঞাসূচক মন্তব্য করে যা ধর্মীয় শান্তিকে ক্ষুণ্ন করে।</t>
  </si>
  <si>
    <t>১৭ই ফেব্রুয়ারি সকালে, আতঙ্কিত হিন্দু ও খ্রিস্টানরা মুলাদী থানার দিকে ছুটতে শুরু করে। বিকেল ৩ টার দিকে, ৩,০০০ জন থেকে ৪,০০০ জন শক্তিশালী জনতা মুলাদী বন্দরের গুদামগুলিতে হামলা ও লুটপাট করে।</t>
  </si>
  <si>
    <t>২০১৮ সালের নভেম্বর মাসে এক ধর্মীয় গোষ্ঠী ধর্মীয় অনুভূতিতে আঘাত দেয়ার অভিযোগে এক শিল্পীর প্রদর্শনীতে হামলা চালিয়ে তাকে মারাত্মক জখম করে, এতে আরও ১৬ জন নিহত হয়।</t>
  </si>
  <si>
    <t>ভোলা জেলায় ধর্মীয় সংঘর্ষে ৪৮ জন নিহত হয়। পুলিশ দ্রুত এলাকা ঘিরে রাখলেও সহিংসতা থামাতে পারেনি। বহু পরিবার নিরাপত্তার কারণে গ্রাম ত্যাগ করে।</t>
  </si>
  <si>
    <t>১৮১৫ থেকে ১৮১৮ পর্যন্ত সতীদাহের মৃত্যু দ্বিগুণ হয়েছে। রামমোহন রায় সতীদাহের উপর আক্রমণ শুরু করেছিলেন যা "এমন ক্রোধ জাগিয়েছিল যে কিছুক্ষণের জন্য তার জীবন বিপদে পড়েছিল"।</t>
  </si>
  <si>
    <t>খুলনার রায়পাড়া এলাকায় দুর্গামন্দিরে কাঠের দরজা ভেঙে ঢুকে সব প্রতিমা ভাঙচুর করে অশ্লীল বার্তা লিখে যায়।</t>
  </si>
  <si>
    <t>বাংলাদেশে সংখ্যালঘু মুসলিম সম্প্রদায়ও ধর্মীয় হিংসা ও নির্যাতনের মুখোমুখি, মসজিদ ধ্বংস ও মুসলিম বসতি বিনাশের ঘটনা ঘটছে; এমন পরিস্থিতি চলতে থাকলে কঠিন সময় আসবে।</t>
  </si>
  <si>
    <t>হাসির খোঁজে দৌড়াই এমন এক রাস্তায়, যেখানে ধর্ম আর মূল্যবোধ ফেলে আসি অবহেলার ছায়ায়।</t>
  </si>
  <si>
    <t>ধর্ম অবমাননার গুজবের পর যে ঘটনা ঘটেছে, তার বিরুদ্ধে আইনি ব্যবস্থা নেওয়া উচিত।</t>
  </si>
  <si>
    <t>হিন্দু ধর্ম হচ্ছে দর্শনের সমন্বয়ে একটা পরম্পরা। একেকটি সম্প্রদায়ের একেকটি দর্শন রয়েছে। এই যে শাক্ত সম্প্রদায়ের একেবারে বিপরীতে রয়েছে বৈষ্ণব সম্প্রদায়। আবার সবাই যে বেদের পক্ষে তা নয়।</t>
  </si>
  <si>
    <t>ঐক্য পরিষদ বলছে, হামলা, ভাঙচুর ও লুটপাটের ঘটনাগুলোর মধ্যে সংখ্যালঘু সম্প্রদায়ের জীবন, সম্পত্তি ও উপাসনালয়ের ওপর ২ হাজার ১০টি ঘটনা রয়েছে।</t>
  </si>
  <si>
    <t>এখনও কিছু উগ্র সাম্প্রদায়িক মনোভাবাপন্ন সংকীর্ণমনা কিছু লোক মুসলমানদের ‘নেড়ে’ বলে কটাক্ষ করে। যেহেতু তারা বৌদ্ধদের একসময় ‘নেড়ে’ বলে কটাক্ষ করত। সেই পরম্পরা তারা মুসলমানদের মধ্যে বজায় রেখেছে। কেননা সেইসব বৌদ্ধরাই ইসলামে ধর্মান্তরিত হয়েছিল।</t>
  </si>
  <si>
    <t>ধর্মীয় অনুশাসন আমাদের পারিবারিক ও সামাজিক জীবনে ন্যায় ও শৃঙ্খলা আনে।</t>
  </si>
  <si>
    <t>এক সমকামী যুবককে ধর্মীয় বিধান অনুযায়ী প্রকাশ্যে ফাঁসি দেয়া হয়; ঘটনার প্রতিবাদে আরও ২২ জন নিহত হন।</t>
  </si>
  <si>
    <t>তায়েফে সুদীর্ঘ ৪০ দিন অবরোধ করে রাখা, হুনাইনে দুঃসাহসিক উপমা স্থাপন করেছেন, মক্কা বিজয় ছিল তাঁরই সমরজীবনের দুর্দান্ত ফসল। বিনা রক্তপাতে বিশাল বিজয়। যা পৃথিবীর ইতিহাসে আর কোথাও লক্ষ্যিত হয়নি, হওয়ার সম্ভাবনাও নেই। মানুষ এমন বিস্ময় ইতোপূর্বে অবলোকন করেনি।</t>
  </si>
  <si>
    <t>বাংলাদেশের সর্বত্রই মন্দির গির্জা প্যাগুডা নিরাপদ থাকবে,,, কোন মুসলাম ধর্মে বিশ্বাসী কেউ অন্য ধর্মে আঘাত হানতে পারে না।</t>
  </si>
  <si>
    <t>ছাতিপাড়া চন্দ্রমনি রক্ষা কালী মন্দিরেও হামলা করে প্রতিমা ভাঙচুর ও আগুন দেয়া হয়। বাইরে আরো ১৫টি মন্দির ও মণ্ডপের পূজার গেটে আগুন দেয়া হয়, ভাঙচুর করা হয়।</t>
  </si>
  <si>
    <t>শুধু একটাই ধর্মেরই মৌলবাদ আছে । আপনি অন্য সব ধর্ম গুলো কে অপমান করছেন । সারা পৃথিবী যে এই একটাই টেরোরিস্ট এর ধর্ম আছে</t>
  </si>
  <si>
    <t>প্রতিবেদনে বলা হয়েছে, পরিসংখ্যান বলে দিচ্ছে দেশে প্রতিনিয়তই হিন্দু নির্যাতন বাড়ছে। শুধু ২০২০ সালেই ১৪৯ জন হিন্দু হত্যার অভিযোগ করেছে জাতীয় হিন্দু মহাজোট, পাশাপাশি লুট, ভাঙচুর ও জমি দখলের ঘটনাও উল্লেখযোগ্য হারে বেড়েছে।</t>
  </si>
  <si>
    <t>ধর্মীয় নিপীড়নের সর্বব্যাপী প্রকৃতি থাকা সত্ত্বেও, ঐতিহ্যগত মানবাধিকার সম্প্রদায় সাধারণত "মানুষের মর্যাদার উপর আরও স্পষ্ট সীমাবদ্ধতা" এর উপর জোর দেওয়া বেছে নেয়, যেমন লঙ্ঘন যা জাতি , লিঙ্গ এবং শ্রেণীভিত্তিক জাতিগত, জাতিগত, এবং ভাষাগত গ্রুপিং ব্যবহার করে। ধর্মীয় দলবদ্ধতা।</t>
  </si>
  <si>
    <t>রাজবাড়ীতে অজ্ঞাত দুর্বৃত্তেরা ভোর রাতে ঢুকে পূজামণ্ডপে নির্মাণাধীন প্রতিমাগুলো ভেঙে ছত্রভঙ্গ করে দেয়।</t>
  </si>
  <si>
    <t>হজ্জ হলো মুসলমানদের জন্য পবিত্রতম শহর সৌদি আরবের মক্কায় অনুষ্ঠিত একটি বার্ষিক ইসলামি সফর।[১] হজ্জ মুসলমানদের জন্য একটি বাধ্যতামূলক ধর্মীয় ইবাদত।</t>
  </si>
  <si>
    <t>হাজীগঞ্জে ধর্মীয় বিদ্বেষ ছড়িয়ে হিন্দু পরিবারের নারী সদস্যদের ধর্ষণের গুজব ছড়িয়ে সাম্প্রদায়িক উত্তেজনা সৃষ্টি করা হয়, যা স্থানীয় সংগঠন গুজব বলে প্রত্যাখ্যান করে।</t>
  </si>
  <si>
    <t>২০১৮ সালের জানুয়ারিতে এক গোষ্ঠী ধর্মীয় অনুভূতিতে আঘাত দেওয়ার অভিযোগে শিল্পীর প্রদর্শনীতে হামলা চালিয়ে তাকে মারাত্মক জখম করে; ঘটনায় ১৫ জন নিহত হয়।</t>
  </si>
  <si>
    <t>লালচাঁদপুর এলাকায়, মধু নমঃশূদ্রের বাড়িতে ৪০জন হিন্দুকে বেষ্টন করে রাখা হয়। তাদের সবকিছু লুটপাটের পর, তাদেরকে একই লাইনে দাঁড় করিয়ে বার্স্ট ফায়ারের মাধ্যমে হত্যা করা হয়। গোকুলনগরেও একই কায়দায় হিন্দুদের হত্যা করা হয়।</t>
  </si>
  <si>
    <t>গৌরী লঙ্কেশ ঘোষিতভাবেই হিন্দু দক্ষিণপন্থীদের সমালোচক ছিলেন তাঁর লেখার মাধ্যমে। ব্যাঙ্গালোরের পুলিশ কমিশনার সুনীল কুমার বিবিসিকে জানিয়েছেন, "মঙ্গলবার রাতে যখন তিনি বাড়ি ফিরছিলেন, তখন বাড়ির ঠিক সামনেই গুলি চালানো হয়।</t>
  </si>
  <si>
    <t>ইসলামের নবী মুহাম্মাদের (সাঃ) জীবদ্দশায় মুসলিম সম্প্রদায়ের দ্বারা পরিচালিত সব যুদ্ধ ও অভিযান তালিকাভুক্ত রয়েছে।</t>
  </si>
  <si>
    <t>১৯৪৯ সালের ২০ ডিসেম্বর, খুলনার বাগেরহাটের মোল্লাহাটে ধর্মীয় সংখ্যালঘু জয়দেব বর্মের বাড়িতে কমিউনিস্ট সন্দেহে অভিযান চালিয়ে পুলিশ সদস্যরা কাউকে না পেয়ে তার স্ত্রীর প্রতি যৌন সহিংসতার চেষ্টা করে, যা ধর্মীয় নিপীড়নের উদাহরণ।</t>
  </si>
  <si>
    <t>হিন্দুদের ধর্মীয় ব্যক্তিত্ব চৈতন্য অনেক লোক জড়ো করে বিকট শব্দে কীর্তন করত। স্থানীয় মুসলমান কাজী জনগণের অসুবিধা হওয়ার কারণে এধরণের অনুষ্ঠান বন্ধ করতে নির্দেশ দিলেন।</t>
  </si>
  <si>
    <t>এই জায়গায় ধর্মীয় উন্মাদনায় শত শত বৌদ্ধ মঠ ও মন্দির ধ্বংস করা হয়, সন্ন্যাসী ও সন্ন্যাসিনীদের হত্যা করা হয়, পুড়িয়ে ফেলা হয় পবিত্র বৌদ্ধ ধর্মগ্রন্থ</t>
  </si>
  <si>
    <t>তিনিই তাঁর রসূলকে হেদায়েত ও সত্য ধর্মসহ প্রেরণ করেছেন, যাতে একে অন্য সমস্ত ধর্মের উপর জয়যুক্ত করেন। সত্য প্রতিষ্ঠাতারূপে আল্লাহ যথেষ্ট।</t>
  </si>
  <si>
    <t>আদমজী গ্রুপের ব্যবস্থাপক জনাব করিম আদমজী পাট কলে সাধারণ ছুটি ঘোষণা করে এবং পরিকল্পিত ভাবে গুজব ছড়িয়ে দেয় যে, নেত্রকোনায় তার ভাইকে হত্যা করা হয়েছে। ১৩ জানুয়ারি রাতে আদমজী পাট কলের মুসলিম শ্রমিকরা আশেপাশের যে কোয়ার্টার গুলোতে হিন্দুরা বসবাস করত সেগুলোতে আক্রমণ করে।</t>
  </si>
  <si>
    <t>হিন্দু ধর্মে বিশ্বাস করা হয় যে, সকল জীবের মধ্যে ঈশ্বরের আছেন, এবং তাই সবার প্রতি সম্মান প্রদর্শন করা উচিত।</t>
  </si>
  <si>
    <t>শিক্ষক বলে কি আমার ধর্ম নিয়ে বাড়াবাড়ি করা আপনাকে মানায়? আর এটা কি শুধু বাড়াবাড়ি ছিলো?? আল্লাহর রসুল নিয়ে যখন ব্যাঙ্গ করেছে</t>
  </si>
  <si>
    <t>বিতর্কটি হত্যাকাণ্ডে পৃথক নেতাদের ভূমিকা ছাড়াও এখনও দুই প্রধান সম্প্রদায় হিসাবে হিন্দু ও মুসলমানদের সম্পর্কিত দায়িত্ব সম্পর্কে উত্থিত হয়।</t>
  </si>
  <si>
    <t>দাড়ি, টুপি ও বোরকা নিয়ে নেতিবাচক ধারণাগুলো নাটক ও সিনেমার মাধ্যমে আমাদের মধ্যে সুচিন্তিতভাবে প্রবেশ করানো হয়েছে—যা থেকে বের হওয়া জরুরি। ধন্যবাদ, এ বিষয়গুলো আলোচনায় আনার জন্য।</t>
  </si>
  <si>
    <t>মসজিদের জমিতে মসজিদের পুননির্মাণ চলছে এখানে কারো প্রতি জুলুম করা হয়নি বরং মসজিদের পুননির্মাণ কাজ বন্ধ করে মসজিদ এবং এলাকার সাধারণ মুসলমানদের উপর জুলুম করা হয়েছে।</t>
  </si>
  <si>
    <t>নবি মোহাম্মদ (সঃ) ৬৩ বছর জিন্দিগিতে কোন একটা পাপ করেন নাই,,,তাই চরন ধূলি না,,,নবীর সুন্নাত অনুযায়ি জীবন জাপন করুন</t>
  </si>
  <si>
    <t>যাক আলহামদুলিল্লাহ। ইসলামের বিরুদ্ধে কথা বললে অন্তত পক্ষে আমাদের সরকার হস্তক্ষেপ করতেছে এটাতেই আমরা শুকরিয়া।</t>
  </si>
  <si>
    <t>দেশে ধর্মীয় ঘৃণার জেরে আত্মহত্যা ও হত্যার শিকার পরিবারগুলো প্রিয়জনের লাশও শেষবার দেখতে পায় না, এই নির্মমতা শুধু স্বজনরাই বুঝতে পারে, যা মানবতার চরম বিপর্যয়কে তুলে ধরে।</t>
  </si>
  <si>
    <t>এদের নাম মুসলিমদের মতো হলেও এদের ধর্ম ভিন্ন।এরা শাহবাগী ধর্মের অনুসারী।</t>
  </si>
  <si>
    <t>দিনাজপুরের একটি বৌদ্ধ বিহারে একদল দুষ্কৃতিকারী মারধর ও ভাঙচুর চালায়, যা এলাকায় ধর্মীয় উত্তেজনা বৃদ্ধি করে।</t>
  </si>
  <si>
    <t>আল্লাহ্ আপনি আমাদের পবিত্র কোরআনেক হেফাজত করুন আর যে জালেমেরা আমাদের পবিত্র কোরআনক পুড়ানোর চেষ্টা করছে তাদেরকে আপনি কঠিন থেকে কঠিন জন্যতোনা দায়‍ৌক শান্তির দিন আমিন</t>
  </si>
  <si>
    <t>২০২০ সালের জানুয়ারিতে এক নারী ধর্মীয় কারণে চাকরি থেকে বরখাস্ত হন; দারিদ্র্যের চাপে তিনি আত্মহত্যা করেন; সহানুভূতিহীন আচরণে আরও ৯ জন আত্মহত্যা করে।</t>
  </si>
  <si>
    <t>যদিও ধর্মভিত্তিক রাজনীতির দলগুলোর মতাদর্শ নিয়ে ভিন্নমত রয়েছে, তবু ক্ষমতাসীন দল সংখ্যালঘুদের সঙ্গে সম্পর্ক আরও দৃঢ় করেছে।</t>
  </si>
  <si>
    <t>ইসলাম ধর্মে নারীদের জন্য পর্দা প্রথার কথা বলা হয়েছে, যেখানে পুরুষ অভিভাবক ছাড়া চলাফেরা না করার বিধান আছে, এর ফলে নারীর সামাজিক কর্মকাণ্ডে অংশগ্রহণকে সীমিত করা হয়েছে।</t>
  </si>
  <si>
    <t>ধর্মীয় সহিংসতা সম্পর্কিত যেকোনো বিবৃতি, মতামত বা সংবাদে যেগুলো নিষিদ্ধ: (১) দাঙ্গাপ্রবণ স্থানের উল্লেখ, (২) নির্যাতনের ধরন, (৩) নির্যাতিত বা হামলাকারী ধর্মীয় গোষ্ঠীর নাম, (৪) ধ্বংস হওয়া মসজিদ, মন্দির বা উপাসনালয়ের নাম।</t>
  </si>
  <si>
    <t>যারা আল্লাহ ও তার রাসুলের বিরুদ্ধে দুশমনিতে লিপ্ত হয় এবং পৃথিবীতে অশান্তি ও বিপর্যয় সৃষ্টির পাঁয়তারা করে, তাদের শাস্তি কেবল মৃত্যুদন্ড, শূলিবিদ্ধ করে হত্যা কিংবা হাত পা বিপরীত দিক থেকে কেটে ফেলা অথবা নির্বাসিত করা।</t>
  </si>
  <si>
    <t>কোরআন অবমাননা করার সাথে সাথে যারা অমানবিক পৈশাচিক কর্মকাণ্ডের সাথে জড়িত সবার দৃষ্টান্তমূলক শাস্তির দাবি জানাচ্ছি।</t>
  </si>
  <si>
    <t>নাৎসিদের সমর্থনে আপনি সেখানে কিছু বলতে পারবেননা, আইন করে তা নিষিদ্ধ। আর্মেনিয়ায় গণহত্যা অস্বীকার করা আইন করে নিষিদ্ধ করা হয়েছে। মত প্রকাশের পূর্ণ স্বাধীনতা কি তাতে থাকে?</t>
  </si>
  <si>
    <t>তারা হিন্দু ধর্মের অপমান ও অত্যাচার সহ্য করতে করতে আজ বৌদ্ধ ধর্ম গ্রহণ করছে, কাল হয়তো মন্দির ভেঙে বৌদ্ধ বিহার গড়বে ধর্মের নামে ন্যায় আনতে।</t>
  </si>
  <si>
    <t>১৫ই ফেব্রুয়ারি গঙ্গাজল গ্রামের দীনেন্দ্র চন্দ্র দেব পুরকায়স্থের বাড়ি লুট হয় এবং মুসলিম দুষ্কৃতকারীরে তা দখল করে নেয়। সকাল ৯ টায় বাহুবল(পূর্বে করিমগঞ্জের একটি সাব-ডিভিশন ছিল)পুলিশ স্টেশনের নিয়ন্ত্রণাধীন সিলানি গ্রামে আক্রমণ চালানো হয়।</t>
  </si>
  <si>
    <t>২০১৭ সালে সিরাজগঞ্জে মসজিদের পাশে একটি নতুন ধর্মীয় স্থাপনা নির্মাণ ঘিরে উত্তেজনা ছড়ায়। একপর্যায়ে সংঘর্ষে মন্দিরের প্রধান গেট ভেঙে ফেলা হয়।</t>
  </si>
  <si>
    <t>২০২১ সালের ১৬ অক্টোবর রাতে সামাজিক যোগযোগ মাধ্যম ফেসবুকে কাবা শরীফের ছবিতে কথিত আপত্তিকর মন্তব্যের জের ধরে রংপুর জেলা পীরগঞ্জ উপজেলার রামনাথপুর ইউনিয়নের তিনটি হিন্দু অধ্যুষিত গ্রামে সহিংসতার ঘটনা ঘটায় স্থানীয় কয়েক হাজার মুসলমান।</t>
  </si>
  <si>
    <t>রাজশাহীতে ধর্মীয় গোষ্ঠী দুটি সংঘর্ষে মেতে ওঠে। পুলিশ পরিস্থিতি শান্ত করতে অভিযান চালায়, কিন্তু জনতা তাদের ওপর পাথর নিক্ষেপ করে। সংঘর্ষের সময় অন্তত ৫৫ জন নিহত হন। বিক্ষুব্ধ জনতা বাড়িঘর ও মন্দির পুড়িয়ে দেয়। আহত বহু লোক হাসপাতালে ভর্তি হয়। অনেক সংখ্যালঘু পরিবার নিরাপত্তার অভাবে তাদের গ্রাম ছেড়ে পালিয়ে যায়।</t>
  </si>
  <si>
    <t>ধর্মীয় বইগুলো শুধু পড়ার জন্য নয়, জীবনে প্রয়োগ করার জন্যও।</t>
  </si>
  <si>
    <t>২০১৭ সালের অক্টোবর মাসে এক গোষ্ঠী সংখ্যালঘুদের ওপর কর চাপিয়ে দেয় এবং দিতে ব্যর্থ হলে তাদের বাড়িঘর জ্বালিয়ে দেয়, এতে ২৬ জন নিহত হয়।</t>
  </si>
  <si>
    <t>বিধর্মীদের কটূ কথা বলে আক্রমণ করবেন না, দয়া করে বুঝিয়ে বলুন, নয়তো তারা আমাদের নিচু করতে আরও সুযোগ পাবে।</t>
  </si>
  <si>
    <t>হবিগঞ্জে গ্রামীণ কালীমন্দিরে ঢুকে মাটির প্রতিমা একে একে ভেঙে তার টুকরো রাস্তায় ছড়িয়ে দেয়া হয়।</t>
  </si>
  <si>
    <t>এমন ভিডিও দেওয়ার জন্য আল্লাহ আপনাকে জান্নাতুল ফেরদৌস দান করুন, অনেক কিছু শিখছি এই ভিডিওগুলোর মাধ্যমে। আর বসে থাকার সময় নেই, রবের সাথে একদিন দেখা করতে হবে।</t>
  </si>
  <si>
    <t>যদি মানুষ অন্য ধর্মকে সম্মান করতে না শিখে নিজেকে "সর্বশ্রেষ্ঠ" প্রমাণের জন্য ব্যস্ত থাকে, তাহলে সমাজে ধর্মীয় সহিষ্ণুতা গড়ে উঠবে না।</t>
  </si>
  <si>
    <t>ঝালকাঠিতে হিন্দু-মুসলিম সংঘর্ষে অন্তত ৩১ জন নিহত হন এবং বহু বাড়িঘর পুড়িয়ে দেওয়া হয়।</t>
  </si>
  <si>
    <t>২০২৫ সালের জানুয়ারি, হিন্দু বৌদ্ধ খ্রিস্টান ঐক্য পরিষদ জানায়, আগষ্ট ২০২৪ থেকে ডিসেম্বর ২০২৪ পর্যন্ত ২০১০টি সাম্প্রদায়িক সহিংসতার ঘটনা ঘটে, যেখানে ২৩ জন নিহত ও ৯ জন ধর্ষণের শিকার হন।</t>
  </si>
  <si>
    <t>রাজশাহীতে এক বর্ণবাদী গোষ্ঠী সংখ্যালঘু হিন্দুদের উপর নৃশংস হামলা চালায়, যেখানে ৩৮ জন নিহত হন। হামলায় বহু ঘরবাড়ি ও পুজামণ্ডপ ভেঙে ফেলা হয়। আহত হন অসংখ্য নারী-পুরুষ। স্থানীয় প্রশাসন পরিস্থিতি নিয়ন্ত্রণে রাখতে ব্যর্থ হয়।</t>
  </si>
  <si>
    <t>খ্রিস্টান মিশনারিরা ধর্মান্তরের নামে ধর্মীয় সম্প্রীতি বিনষ্ট করছে এবং দেশের ঐতিহ্যকে ক্ষুণ্ণ করছে।</t>
  </si>
  <si>
    <t>ধর্মীয় নীতিভ্রষ্টতায় এক এতিম শিশুকে দিনের পর দিন যৌন নির্যাতন সহ্য করতে হয়, পরে সে আত্মহত্যা করে; পরে আরও ৯ জন আত্মহত্যা করে।</t>
  </si>
  <si>
    <t>পার্বত্য চট্টগ্রাম অঞ্চলের বৌদ্ধদের অধিকাংশ চাকমা, মারমা, খুমি,বাওম,চক,কুকি,মুরাং,তানচাঙ্গিয়া এবং খিয়াং উপজাতির অন্তর্ভুক্ত, যারা প্রাচীন সময় থেকে বৌদ্ধধর্মের চর্চা করে আসছে।</t>
  </si>
  <si>
    <t>আমরা কেবল ‘বাংলাদেশি’, কোনো ধর্মীয় পরিচয়ের নয় এবং এই জাতীয় পরিচয়ে গর্বিত।</t>
  </si>
  <si>
    <t>হিন্দু বৌদ্ধ খ্রিষ্টান ঐক্য পরিষদের এই দাবিকে অন্তর্বর্তী সরকার অত্যন্ত গুরুত্বের সঙ্গে নেয় এবং উল্লিখিত ২৩টি হত্যাকাণ্ডের তালিকা সংগ্রহ করে। ওই তালিকে প্রধান উপদেষ্টার দপ্তর থেকে পুলিশের কাছে পাঠিয়ে প্রতিটি ঘটনার প্রকৃত কারণ ও গৃহীত আইনি ব্যবস্থা সম্পর্কে জানতে চাওয়া হয়।</t>
  </si>
  <si>
    <t>কুরআন মুসলমান মানুষের জীবনের অনেক দামি তাই কোরআনকে সব মুসলিম ভাইরা কুরআনের সম্মান রক্ষা করেন জীবন দিয়ে হলেও</t>
  </si>
  <si>
    <t>বিশ্বনাথ পুলিশ স্টেশনের দণ্ডপাণিপুরের হিন্দুরাও ভয়ঙ্কর লুটপাটের শিকার হয়। হিন্দুদের কাছে পবিত্র গরু জবাই করে তাদেরকে সেটির মাংস খাওয়ানো হয় জোর করে আর সবাইকে ইসলাম ধর্মান্তরিত হতে বাধ্য করা হয়। টুকেরকান্দি গ্রামের ঘোষ বাড়ি লুট করে মুসলিমরা।</t>
  </si>
  <si>
    <t>বৌদ্ধ সম্প্রদায়ের কিছু তরুণ অন্য ধর্মাবলম্বীদের বিরুদ্ধে হিংসাত্মক বক্তব্য দেয় যা ধর্মীয় সহনশীলতাকে ক্ষতিগ্রস্ত করে।</t>
  </si>
  <si>
    <t>দুই জনবসতির প্রতিটি বাড়িঘরে লুটপাট ও অগ্নিসংযোগ করা হয় এবং হিন্দু সম্প্রদায়ের উপাসনার জন্য নির্মিত পবিত্র মন্দির গুলো ধ্বংস করে ফেলা হয়।[১৯]তাজউদ্দীন আহমেদ দুপুর ১ টা থেকে সন্ধ্যা ৬ টা পর্যন্ত ঢাকার বিভিন্ন এলাকা ঘুরে দেখেন এবং হিন্দুদের উপর মুসলিমদের চালানো অমানবিক বর্বর নির্যাতন ও ধ্বংসযজ্ঞের কথা স্বীকার করে নিতে বাধ্য হন।</t>
  </si>
  <si>
    <t>মত প্রকাশের স্বাধীনতা মানে সব কিছু ইচ্ছেমত করা নয়। ধর্মীয় স্বাধীনতা ও বিশ্বাস অনেকের জন্য সংবেদনশীল, তাই সেটাকে অবজ্ঞা করা অযৌক্তিক ও বোকামি।</t>
  </si>
  <si>
    <t>প্রতিটি মানুষের কাছে তার ধর্ম সবচেয়ে গুরুত্বপূর্ণ; অন্যের ধর্ম অবজ্ঞা বা অপমান করা অন্যায়। নিজের ধর্ম যেমন প্রিয়, তেমনি অন্যদের ধর্মও তাদের কাছে পবিত্র। যারা এটা বুঝতে পারে না, তাদের কোনো ধর্ম নেই।</t>
  </si>
  <si>
    <t>ধর্মভিত্তিক বিদ্বেষে বাংলাদেশে বহু মানুষ প্রাণ হারায় বা আত্মহত্যা করতে বাধ্য হয়, অথচ সব ধর্মকে সম্মান করলে এ ধরনের মৃত্যু ও নিষ্ঠুরতা এড়ানো যেত।</t>
  </si>
  <si>
    <t>আল্লাহর নির্দেশনা মেনে চললে আমরা জীবনের সঠিক পথে থাকি এবং জীবনের সকল চ্যালেঞ্জ মোকাবিলা করার শক্তি পেয়ে যাই।</t>
  </si>
  <si>
    <t>নোটিশ পাওয়ার যৌক্তিক সময়ের মধ্যে প্রচলিত আইন সংশোধনক্রমে কারো ধর্মীয় অনুভূতিতে আঘাতসহ রাসুল সাল্লাল্লাহু আলাই সালামকে কটূক্তির সাজা সর্বোচ্চ করার লক্ষ্যে প্রয়োজনীয় ব্যবস্থা গ্রহণ করার জন্য অনুরোধ করা হয়েছে। অন্যথায় সংশ্লিষ্টদের বিরুদ্ধে আইনগত ব্যবস্থা গ্রহণ করা হবে।</t>
  </si>
  <si>
    <t>সবচেয়ে কষ্টের কথা হচ্ছে মৌলবাদি, ইসলাম নিয়ে কটুকথা বলা সবগুলো কমেন্ট কিন্তু মুসলমান রাই করেছে। নিজেদের কাছেই তাদের ধর্মের মূল্য নেই।</t>
  </si>
  <si>
    <t>আল্লাহ বলেছেন মহামারীতে মৃত্যু যারা ভোগে, তাদের আঘাত শহীদদের মতো হলে তারা শহীদের মর্যাদা পাবে।</t>
  </si>
  <si>
    <t>২০২৪ সালের আগস্ট, বাগেরহাটে চক্রবর্তী পরিবারকে জমি দখলের উদ্দেশ্যে হামলা চালানো হয়, পরিবারের প্রধান নিহত হন।</t>
  </si>
  <si>
    <t>হাদিসকে অবমাননা করে নতুন হালাল হারামের ডেফিনেশন শিখাচ্ছে মানুষদেরকে। সুস্পষ্ট ভাবে হাদিসকে অস্বীকার করে নাস্তিক্যবাদ ছড়িয়ে দিচ্ছে এর বিরুদ্ধে আমাদের আওয়াজ তুলতে হবে।</t>
  </si>
  <si>
    <t>প্রতিবেদনে বলা হয়, গত এক বছরে ইসলাম নিয়ে হত্যার ঘটনা ঘটেছে ৪৫টি। মরদেহ উদ্ধার (হত্যাকাণ্ড বলে প্রতীয়মান) হয়েছে ৭ জনের। ১০ জনকে হত্যার চেষ্টা করা হয়েছে। হত্যার হুমকি দেওয়া হয়েছে ৩৬ জনকে।</t>
  </si>
  <si>
    <t>ইতিহাসবিদরা মূলত তিনটি কারণে নোয়াখালীর হত্যাযজ্ঞকে অন্যান্য জায়গার হিন্দু-মুসলমান দাঙ্গার সাথে তুলনা করতে চান না। প্রথমত, এখানে দুই পক্ষের শক্তি সমান ছিল না, এখানে মূলত হিন্দু জনগোষ্ঠী হামলার শিকার হন।</t>
  </si>
  <si>
    <t>বাংলাদেশের দক্ষিণ-পূর্বাঞ্চলীয় জেলা কক্সবাজারের রামুতে হঠাৎ শোনা গেলো সেখানকার একটি কম্পিউটারের দোকান থেকে উত্তম বড়ুয়া নামে কোন এক বৌদ্ধ তরুণের ফেইসবুক অ্যাকাউন্ট থেকে ইসলাম ধর্ম, ইসলামের ধর্মগ্রন্থ কোরআন অথবা নবীকে অবমাননা করা হয়েছে।</t>
  </si>
  <si>
    <t>একজন বিশেষজ্ঞের মতে, কিছু হিন্দু সংবাদমাধ্যম অতিরঞ্জিত এবং বিশৃঙ্খলাপূর্ণ সংবাদ প্রকাশ করেছিল। তবে নিরপেক্ষ মতে মৃত্যুর সংখ্যা প্রায় ৫০০০ এর কাছাকাছি ছিল।</t>
  </si>
  <si>
    <t>হিন্দু সম্প্রদায়ের অনেকেই অন্য ধর্মাবলম্বীদের প্রতি বিদ্বেষপূর্ণ মনোভাব পোষণ করে যা দেশে শান্তি বিনষ্টের কারণ হয়ে দাঁড়িয়েছে।</t>
  </si>
  <si>
    <t>আল্লাহু আকবার। আল্লাহর সৃষ্টি নিয়ে যত গবেষণা মূলক ভিডিও তত্ত্ব ও ব্যক্তিগত ভাবে নিজে যতই চিন্তা করি মনের অজান্তেই সেই মহান সত্তা আল্লাহ তাআলার কাছে নিজের মাথা ঝুকে যায়। মহান রবকে লক্ষ কোটি সুজুদ ও শুকুর।</t>
  </si>
  <si>
    <t>ধর্ম নিয়ে যতদিন বাড়াবাড়ি না হবে ততদিন ধর্ম টিকে থাকবে ৷</t>
  </si>
  <si>
    <t>বিজ্ঞান শিক্ষার সঙ্গে ধর্মীয় শিক্ষার কোন সংঘর্ষ বাংলাদেশের শিক্ষা ব্যবস্থায় নেই, কখনো ছিল না, আগামীতেও থাকবে না। সুতরাং সংঘর্ষের কোন পরিস্থিতি কারণ দেখছি না।''</t>
  </si>
  <si>
    <t>মাইকে বেশ কিছু উগ্রপন্থী মুসলমানরা হামলা ঘোষণা দিয়ে হামলা চালায় এতে ৮৮টি বাড়িঘর এবং ৭/৮টি পারিবারিক মন্দির ভাংচুর এবং আসবাবপত্র তছনছ করা হয়েছে।[২] হামলা ও ভাংচুরে নেতৃত্বে ছিলেন দিরাই উপজেলার সরমঙ্গল ইউনিয়নের ৯ নম্বর ওয়ার্ডের নাচনী গ্রামের মেম্বার ও ওয়ার্ড যুবলীগ সভাপতি শহীদুল ইসলাম স্বাধীন ও তার আরেক সহকারী পক্কন মিয়া।[৩] এ ঘটনায় এখন পর্যন্ত ৩৮ জনকে গ্রেফতার করা হয়েছে এবং তদন্ত চলমান রয়েছে।[৩] তবে হামলার ঘটনায় কেউ কেউ হেফাজতে ইসলাম বাংলাদেশকে জড়িত বলেছেন।</t>
  </si>
  <si>
    <t>ভিন্ন ধর্মাবলম্বীদের প্রতি সম্মান রেখে বলছি, পূজায় অনাকাঙ্ক্ষিত হামলার সময় আমরা সবাই সহমর্মিতা দেখাই।</t>
  </si>
  <si>
    <t>আত্মহত্যাকারীর গন্তব্য জাহান্নাম; তাই আল্লাহ প্রদত্ত জীবন শেষ করার অধিকার কারও নেই, যেই যন্ত্রণাই আসুক না কেন।</t>
  </si>
  <si>
    <t>আহসানউল্লাহ বিশ্ববিদ্যালয়ে অষ্টমীর দিন সেমিস্টার ফাইনাল নির্ধারিত হয়েছে, যা সনাতন ধর্মাবলম্বী শিক্ষার্থীদের জন্য ধর্মীয় উৎসব পালন ও পরীক্ষার মধ্যে দ্বিধা সৃষ্টি করেছে।</t>
  </si>
  <si>
    <t>বালাগঞ্জ পুলিশ স্টেশনের অন্তর্গত রুকানপুর গ্রামের দিগেন্দ্র সেন, গোপেশ সেন এবং শিব চরণ দাসের বসত বাড়ি লুট করা হয় এবং তাদের পরিবারের সদস্যরা নির্মম প্রহারের শিকার হয়।</t>
  </si>
  <si>
    <t>ক্যাপ্টেন মন্দিরে হামলা ও হত্যাকাণ্ডের আদেশ দেন যেখানে উপাসনাকালে বহু হিন্দু নিহত হয় এবং আত্মরক্ষায় কেউ কেউ আত্মহত্যা করতেও বাধ্য হন।</t>
  </si>
  <si>
    <t>ওয়ারী ও টিকাটুলির দেয়ালে হিন্দুবিদ্বেষী লেখা ছড়িয়ে পড়ে, ‘হিন্দু মারো’ স্লোগানে উত্তপ্ত পরিস্থিতিতে বহু হিন্দু হত্যার শিকার হয়।</t>
  </si>
  <si>
    <t>৩০ অক্টোবর ২০২৩ দিনাজপুরের পার্বতীপুরে একটি রাধাকৃষ্ণ মন্দিরে রাতের অন্ধকারে মন্দিরের টিন কেটে ঢুকে প্রতিমা নষ্ট করে দেয়</t>
  </si>
  <si>
    <t>২০২১ সালের ১৭ মার্চ, সুনামগঞ্জের শাল্লা উপজেলায় ফেসবুকে ধর্মীয় নেতাকে নিয়ে মন্তব্যের অভিযোগে হিন্দুদের বাড়িঘরে হামলা চালানো হয়। ৮৮টি বাড়ি ও ৮টি মন্দির ভাঙচুর করা হয়, এতে ১২ জন নিহত হন।</t>
  </si>
  <si>
    <t>বিভিন্ন স্থানে, মৃত ব্যক্তির পক্ষ থেকে আল্লাহর কাছে ক্ষমা প্রার্থনা করা একটি সাধারণ ঐতিহ্য, যে কারণে লোকেরা তাদের প্রিয়জনদের কবর জিয়ারত করে, প্রার্থনা করে এবং তাদের প্রিয়জনদের কবরে মোমবাতি এবং সুগন্ধি কাঠি জ্বালায়।</t>
  </si>
  <si>
    <t>ওইতাইতো কথা মনে করবেন না। অনুগ্রহ করে আপনারা সামি, ভাই, বাবা, আপনাদের মা, মেয়ে, বোউ, বোন, এদের ঘরে রেখে পরকীয়া করবেন। বাজে কাজ করবেন তাইলে আমরা কি শিখবো? আমাদের সামি, বাবা, ভাইদের খাচ থেকে।</t>
  </si>
  <si>
    <t>মাদারীপুরে ধর্মীয় অশান্তিতে সংঘর্ষে ৪০ জন নিহত হন। পুলিশ দ্রুত এলাকা ঘিরে রাখে, সরকার ধর্মীয় সহিষ্ণুতা ও শান্তি বজায় রাখার নির্দেশ দেয়। অনেক পরিবার নিরাপত্তার জন্য আশ্রয় খুঁজে নেয়।</t>
  </si>
  <si>
    <t>দক্ষিণ কলকাতার টালিগঞ্জ অঞ্চলে জন্ম নেওয়া অভয়াচরন দে পরবর্তী জীবনে অভয়া চরণারবিন্দ ভক্তিবেদান্ত স্বামী 'প্রভুপাদ' বা এসি ভক্তিবেদান্ত ইসকনের প্রতিষ্ঠাতা।</t>
  </si>
  <si>
    <t>উৎসবের সাথে দুটি বিশ্বাস জড়িত, প্রথম বিশ্বাস হল এই তিথিতে ভগবান শিব জ্যোতির্লিঙ্গ রূপে আবির্ভূত হয়েছিলেন, অন্যদিকে দ্বিতীয় বিশ্বাস হল এই তিথিতে শিব-পার্বতীর বিবাহ হয়েছিল।</t>
  </si>
  <si>
    <t>১৯৯২ সালে বাবরি মসজিদ ধ্বংসের পর নোয়াখালী বিভিন্ন অঞ্চলে সংঘটিত দাঙ্গায় হাজারো মানুষ নিহত হয়, যা ধর্মীয় উত্তেজনার চরম বহিঃপ্রকাশ।</t>
  </si>
  <si>
    <t>ভিডিওটা তৈরীতে আপনার পরিশ্রম ও পড়াশোনা সত্যি অনেকটা অবাক করেছে আমাকে। বিজ্ঞান যে আল্লাহ তাআলা কখনো প্রমাণ করতে পারবে না সেটা আল্লাহ তায়ালা বলেছেন,তবে আল্লাহ বলেন যে, তোমরা কি আমার নিদর্শন সমূহকে দেখনি? আল্লাহর এই নিদর্শন সমূহকে দেখার পরও যারা ঈমান আনবে না তারা সত্যি হতভাগা। আল্লাহু আকবার।</t>
  </si>
  <si>
    <t>লিনফোর্ড বলেছেন, ন্যাথানিয়েল, গ্যারেথ ও স্টেসি ট্রেন ধর্মীয় উদ্দেশ্যে সন্ত্রাসী হামলা চালিয়েছিল।</t>
  </si>
  <si>
    <t>অফলাইনে বা বাস্তবিক জীবনে এরা পুরোপুরি ব্যর্থ, সেখানে তাদের যুক্তি বা দাবি ধোঁপে টিকেনা, এদের জীবন কাটে ধর্মের হতাশায়।</t>
  </si>
  <si>
    <t>যেহেতু ইসলাম ধর্মসহ প্রায় সকল ধর্মেই আপন আপন আঙ্গিকে সীমিত উৎসবের অনুমতি আছে সেহেতু তারা তাদের ধর্মাচারগুলোকে ফখরুদ্দীনের চাটনির স্বাদের আনন্দ আচারের টক-মিষ্টি-মসলা মিশিয়ে খোলাবাজারে ছেড়ে দিয়েছে।</t>
  </si>
  <si>
    <t>আমরা ধর্মনিরপেক্ষতায় বিশ্বাস করি। পরধর্ম সহিষ্ণুতায় বিশ্বাস করি আমরা। আমি হিন্দু ধর্মের। অন্যরা অন্য ধর্মীয় বিশ্বাসের হতেই পারেন। আমাদের উচিত সব ধর্মকে সম্মান করা।</t>
  </si>
  <si>
    <t>৩০ জানুয়ারি ২০২۵ সিলেটের ফেঞ্চুগঞ্জে পুরনো একটি রাধাকৃষ্ণ মন্দিরের ভেতরে পাথরের প্রতিমা ভেঙে টয়লেটের পাশে ফেলে রাখা হয়</t>
  </si>
  <si>
    <t>মৃত্যুর পর শেষকৃত্যের সময় মুনকার ও নকীর নামে দুই প্রশ্নকারী ফেরেশতা, যাদের নীল চোখ ও কালো গাত্রবর্ণ, আসে।</t>
  </si>
  <si>
    <t>তিনি পূজার নিরাপত্তায় ছিলেন। ন্দেহজনক চারজনকে জিজ্ঞাসাবাদকালে ১০-১২ জন ধর্মান্ধ উগ্রপন্থীরা তাকে মন্দিরে পিটিয়ে আহত করে।</t>
  </si>
  <si>
    <t>লালমনিরহাটে হিন্দু-মুসলিম সংঘর্ষে ২৯ জন নিহত হন। পরিস্থিতি শান্ত করতে সেনা মোতায়েন করা হয়। সংঘর্ষের সময় গুরুতর ধ্বংসযজ্ঞ ঘটে।</t>
  </si>
  <si>
    <t>সুখী দেশের তালিকায় ‘ফিনল্যান্ড’ আবারো প্রথম হয়েছে। এনিয়ে পরপর ৭বার দেশটি এ কৃতিত্ব ধরে রেখেছে। দেশটি’র মানুষজন মোটামুটিভাবে ‘নাস্তিক’। পার্লামেন্টে প্রায় অর্ধেক নারী, সরকার প্রধানও একজন নারী (২০১৯), বয়স ৩৪। সুখী দেশের তালিকায় বাংলাদেশ ১২৯। সবচেয়ে নীচে রয়েছে ধর্মান্ধ, তালেবানি রাষ্ট্র ‘আফগানিস্তান</t>
  </si>
  <si>
    <t>আল্লাহর প্রতি পূর্ণ আস্থা রাখার মাধ্যমে মুসলিমরা নিজেদের আত্মবিশ্বাস এবং শান্তি অর্জন করতে সক্ষম হয়।</t>
  </si>
  <si>
    <t>আলহামদুলিল্লাহ, অনেক অস্থিরতা থেকে মুক্তি পেলাম। মহান আল্লাহ তায়ালার অশেষ রহমতে কথাগুলো শোনার সৌভাগ্য হয়েছে।</t>
  </si>
  <si>
    <t>১২ মার্চ দুপুরে মৌলভীবাজার জেলার জুড়ী উপজেলার একটি মন্দিরের আশপাশে দুর্বৃত্তরা আগুন ধরিয়ে দেয়। তবে মন্দিরের আশেপাশের লোকেরা দ্রুত আগুন নিয়ন্ত্রণে নিয়ে আসে।</t>
  </si>
  <si>
    <t>মন্দিরের কয়েকটি মূর্তির বিভিন্ন অংশ ভেঙে ফেলেছে দুর্বৃত্তরা। স্থানীয় ও মন্দির কমিটির নেতৃবৃন্দর সঙ্গে কথা হয়েছে। জড়িতদের গ্রেপ্তারে অভিযানে নেমেছে পুলিশ।</t>
  </si>
  <si>
    <t>তাকে নির্মমভাবে হত্যা করার পর, ছদ্মবেশী জঙ্গিরা ছেনি এবং কুড়াল দিয়ে তার শরীরের বিভিন্ন অংশ কেটে ফেলে বলে অভিযোগ। স্বামীকে উদ্ধারের চেষ্টাকারী অন্যরা, অর্থাৎ কল্যাণ আশ্রমের সার্বিক দায়িত্বে থাকা সাধ্বী ভক্তি মাতা, কিশোর বাবা, অমৃতানন্দ বাবা এবং স্কুলের একজন বন্দীর অতিথি অভিভাবককেও হত্যা করা হয়।</t>
  </si>
  <si>
    <t>ধর্মের নামে বিভ্রান্ত এক যুবক আত্মহত্যা করে, ইসলাম যেখানে আত্মহত্যাকে মহাপাপ হিসেবে বর্ণনা করেছে এবং হাদিসে বলা হয়েছে এমন মৃত্যুতে চিরস্থায়ী শাস্তি অবধারিত।</t>
  </si>
  <si>
    <t>বাংলাদেশের একটি চিত্রকর্মে ১৫৭২ সালের সেন্ট বার্থোলোমিউ দিবসে ক্যাথলিকদের দ্বারা হুগেনটদের গণহত্যার ধর্মীয় সহিংসতা তুলে ধরা হয়েছে।</t>
  </si>
  <si>
    <t>মাদ্রাসার ছাত্রদের ধর্মীয় পোশাকের কারণে একদল মানুষ রাস্তায় পিটিয়ে হত্যা করে, যা ধর্মীয় সহিংসতার নির্মম উদাহরণ হয়ে ওঠে। মোট নিহত: ১২ জন।</t>
  </si>
  <si>
    <t>সীমান্তের ওপারে বাংলাদেশ এবং মুসলিম বিদ্বেষী দাঙ্গাবাজ সন্ত্রাসীরা যারা "সংখ্যালঘু নির্যাতনের" গল্প শুনিয়ে ধর্মীয় বিভাজন তৈরি করে ক্ষমতায় যেতে চায় এবং নিজেদের নিপীড়নের কর্মকাণ্ডকে যুক্ত প্রমাণ করার চেষ্টা করে।</t>
  </si>
  <si>
    <t>কিন্তু কিছু মানুষ আছেন যারা ধর্মে বিশ্বাস করেননা কিন্তু ধার্মিক সংখ্যালঘু তে বিশ্বাস করেন !!! তারা হলেন সেকুলার। যারা করোনার থেকেও বেশি ভয়ঙ্কর।</t>
  </si>
  <si>
    <t>এক মন্দির দাঙ্গার সময় পুলিশ গুলি চালায়, ১৪ জন নিহত হন, যা ধর্মীয় সহিংসতার মাত্রা বাড়িয়ে দেয়।</t>
  </si>
  <si>
    <t>বাংলাদেশ হিন্দু বৌদ্ধ খ্রিস্টান ঐক্য পরিষদ অভিযোগ করেছে, ৪ আগস্টের পর দেশে সংখ্যালঘুদের ওপর মোট ১ হাজার ৭৬৯টি সাম্প্রদায়িক হামলা, ভাঙচুর ও লুটপাটে ঘটনা ঘটেছে।</t>
  </si>
  <si>
    <t>স্যার আপনি দয়া করে কোর আন নিয়ে আল্লাহ কে নিয়ে, ইসলামের চোখে জীবন নিয়ে আলাদা সিরিজ বানান,রিসার্চ করেন আমাদের সাথে শেয়ার করেন। আমরাও উপকৃত হবো,আমরা কোরআনের মানুষ হতে চাই,আমাদের কে সাহায্য করুন ইনশাআল্লাহ আপনার অনেক রহমত দেবেন আল্লাহ। আমাদের ইমান মজবুত হবে কোরআন নিয়ে আরোও বিস্তারিত আলোচনা করলে।</t>
  </si>
  <si>
    <t>আল্লাহ, জানি না এই নাস্তিকদের তুমি কী শাস্তি দেবে। আল্লাহ, তোমার কুরআনকে যারা অবমাননা করছে, তুমি তাদের এমন শাস্তি দাও, যাতে এরকম কাজ যেন সামনে আর কেউ না করে।</t>
  </si>
  <si>
    <t>কথায় কথায় এখানে ওখানে ধর্ম টেনে আনা এই ট্রলকারীরা এইটা মনে রাখেন না যে বয়সে বড় মহিলাকে বিয়ে করা সুন্নাত, তালাক প্রাপ্ত মহিলাকে বিয়ে করা সুন্নাত, বিধবা মহিলাকে বিয়ে করা সুন্নাত। এইটা হাসি ঠাট্টার কোন বিষয় না।</t>
  </si>
  <si>
    <t>জনপদে 'কঠিন চীবর দান' শব্দটি গৌতম বুদ্ধের সময় থেকে প্রচলিত হয়ে আসছে। মাত্র ২৪ ঘণ্টার মধ্যে তুলা কেটে, সুতা বানিয়ে, রং করে, নানা রকম আচার ও নিয়ম মেনে একেকটি চীবর তৈরি করার কাজটি খুব বেশি কঠিন বলেই অনুষ্ঠানের এই নাম।</t>
  </si>
  <si>
    <t>ধর্মীয় পরিচয়ের কারণে নবীজির অনুসারীদের ওপর অমানবিক নির্যাতন চালানো হয়েছে এবং তাদেরকে সমাজ থেকে একঘরে করে ধর্মীয় অনুভূতিতে আঘাত হানা হয়েছে</t>
  </si>
  <si>
    <t>পবিত্র রাত উপলক্ষে বিভিন্ন সমাবেশ এবং মাহাফিল-ই-নাতের আয়োজন করা হয়, অন্যদিকে উলামা ও ধর্মীয় পণ্ডিতরা তাদের খুতবায় ইসলামের শিক্ষা তুলে ধরেন ।</t>
  </si>
  <si>
    <t>দুনিয়াতে মুমিনকে এমনভাবে থাকতে হবে,যেন সে সফর অবস্থায় আছে এবং প্রস্থানের জন্য মালামাল গুছিয়ে নিচ্ছে।</t>
  </si>
  <si>
    <t>হরিপদ চৌধুরী ও বিমল ভট্টাচার্যের বসত বাড়ি সহ পুরো গ্রামের সব হিন্দু বাড়ি ঘর লুট করে। ১৭ই ফেব্রুয়ারি মুসলিম গুণ্ডারা বাড়ি বাড়ি গিয়ে হিন্দুদেরকে আক্রমণ করে। তারা ব্রাহ্মণদের পৈতে টেনে ছিঁড়ে ফেলে, পা দিয়ে মাড়িয়ে, জোর করে ইসলামে ধর্মান্তরিত করে।</t>
  </si>
  <si>
    <t>আমার একটু বেশি লাগছে এই কারনে যে আমার বাবার বন্ধুরা প্রায় হিন্দু, আমার বন্ধুরা প্রায় হিন্দু</t>
  </si>
  <si>
    <t>বাংলাদেশের মুসলমানদের ইসলামের প্রতি সাধারণ ব্যাক্তিগত অঙ্গীকার সত্ত্বেও ইসলামি রীতিনীতি পালন সামাজিক অবস্থান, স্থানীয় ও ব্যাক্তিগত বিবেচনা অনুযায়ী পরিবর্তিত হয়।</t>
  </si>
  <si>
    <t>ধর্মীয় নিপীড়নের নামে বহু নিরীহকে গলা কেটে হত্যা করা হয়, কেউ অনশনে প্রাণ ত্যাগ করে, কেউ স্বেচ্ছামৃত্যুর পথ বেছে নেয়; বিক্রম সম্পাত এমন আত্মত্যাগের বর্ণনা দিয়েছেন তার দ্বিতীয় খণ্ডে।</t>
  </si>
  <si>
    <t>৮ অক্টোবর গাইবান্ধার সুন্দরগঞ্জে নির্মাণাধীন অস্থায়ী পূজা মন্ডপের সব প্রতিমা ভোররাতে দুর্বৃত্তদের দ্বারা ভাঙচুর করা হয়।</t>
  </si>
  <si>
    <t>সেকালে সাম্প্রদায়িক সন্ত্রাস এক রকম ছিল, এখন তাতে নতুন উপাদান—জঙ্গিবাদ যুক্ত হয়েছে।</t>
  </si>
  <si>
    <t>কিশোরগঞ্জে ধর্মীয় গোষ্ঠীর মধ্যে সংঘর্ষে ৪৫ জন নিহত হন। পুলিশ সহিংসতা দমনে ব্যর্থ হয়, সরকার সবাইকে শান্ত থাকার নির্দেশ দেয়। অনেক সংখ্যালঘু পরিবার নিরাপত্তার জন্য গ্রাম ছেড়ে চলে যায়।</t>
  </si>
  <si>
    <t>কিশোরগঞ্জে ধর্মীয় সহিংসতায় সংখ্যালঘু সম্প্রদায়ের ওপর হামলায় অন্তত ৩৭ জন নিহত হন।</t>
  </si>
  <si>
    <t>সিলেটে ধর্মীয় বিদ্বেষ থেকে সংঘর্ষে ৪৪ জন নিহত হন। পুলিশ পরিস্থিতি নিয়ন্ত্রণে ব্যর্থ হলেও সরকার শান্ত থাকার আহ্বান জানায়। অনেক সংখ্যালঘু পরিবার নিরাপত্তার জন্য আশ্রয় খুঁজে নেয়।</t>
  </si>
  <si>
    <t>একটা মানুষ ধর্মের পথে আসতে চাইছে, যদি সাপোর্ট করতে না চান, তাহলে তাকে নিজের মতো চলার সুযোগ দিন।</t>
  </si>
  <si>
    <t>ধর্ম মানুষের আধ্যাত্মিক উন্নতির পথপ্রদর্শক, যা সকলকে মানবতার দিকে আহ্বান করে</t>
  </si>
  <si>
    <t>২০১৪ সালের ৫ জানুয়ারি দশম সাধারণ নির্বাচন অনুষ্ঠিত হয়, ভোটের পর বিরোধী দলের কর্মী এবং সমর্থকরা সাম্প্রদায়িক দাঙ্গা তৈরি তে সংখ্যালঘু বাঙালি হিন্দুদের ওপর হামলা শুরু করে।</t>
  </si>
  <si>
    <t>খ্রিস্টান ধর্মীয় উপাসনালয়ে হামলা চালিয়ে লুণ্ঠন অগ্নিসংযোগ ও নারীদের অপহরণ করা হয়, ধর্মীয় বিদ্বেষে উগ্রপন্থীরা সন্ধ্যা পর্যন্ত সহিংসতা চালিয়ে লুটপাট শেষে স্থান ত্যাগ করে।</t>
  </si>
  <si>
    <t>ব্রাহ্মণরা পাইকারী হারে বৌদ্ধ স্থাপনা ধ্বংস করে বৌদ্ধবাদের নির্মূল ত্বরান্বিত করেছেন।</t>
  </si>
  <si>
    <t>২০০৮ সালের অক্টোবর মাসে একজন সিনিয়র মাওবাদী নেতা লক্ষ্মণানন্দ হত্যার দায় স্বীকার করেন। পুলিশ নিশ্চিত করে মাওবাদীরা উপজাতি যুবকদের হত্যার জন্য প্রশিক্ষণ দিয়েছিল।</t>
  </si>
  <si>
    <t>বাগেরহাটে কালী প্রতিমা ভাঙচুর, থানায় অভিযোগ দায়ের</t>
  </si>
  <si>
    <t>আমি অপরাধিদের ফাঁসি চাই। অন্যথায় বাংলাদেশি পণ্য সামগ্রীর বয়কটের আহবান জানাচ্ছি সকল মুসলিমদের।</t>
  </si>
  <si>
    <t>আপনি বললেন গান বাজনা বা জুয়া খেলা চলবেনা কিন্তু আপনাদের প্রত্যেকটি পূজা বা মন্ডপ এ সেগূলোই চলে আপনারা বলছেন এক আর করছেন এক</t>
  </si>
  <si>
    <t>যে সকল হিন্দু ট্রেন থেকে নামতে অস্বীকৃতি জানায় তাদেরকে সেখানেই গলা কেটে হত্যা করে তারা। জানুয়ারির ১৫ তারিখে একদল হিংস্র মুসলিম জনতা নবাবপুর রোডের পুরোহিতের বাড়িতে ঢুকে রাধা-কৃষ্ণ মন্দির ধ্বংস করে এবং পুরোহিতের গলা কেটে মুণ্ডচ্ছেদ করে।</t>
  </si>
  <si>
    <t>৭ই ফেব্রুয়ারি ৫০০-৬০০ মুসলিমের একটা দল ছাতক পুলিশ স্টেশনের অন্তর্গত লোকেশ্বর গ্রামে আক্রমণ করে। সেখানে হিন্দুদের বিশেষ করে ব্রাহ্মণদের বাড়িঘর লুট করে তারা এবং দু’জনকে নির্মম ভাবে পিটিয়ে আহত করে। এখানেও তারা ব্রাহ্মণদের পবিত্র পৈতা ছিঁড়ে ফেলে এবং মাথায় রাখা চুলের শিখা বা টিকি কেটে দেয়।</t>
  </si>
  <si>
    <t>ঝিনাইদহে ধর্মীয় বিদ্বেষ থেকে সংখ্যালঘু হিন্দুদের উপর হামলায় অন্তত ৩৮ জন নিহত হয়। আহত হয় বহু নারী ও শিশু। হামলাকারীরা তাদের বসতবাড়ি ও সম্পত্তি ভাঙচুর করে।</t>
  </si>
  <si>
    <t>স্বরস্বতী পূজা তো জগন্নাথ হলের বাইরে কোথাও দেখি নাই। আজ কত বছর ঢাবিতে আছি। জগন্নাথ হল হিন্দু বৌদ্ধ খ্রিস্টানদের জন্য আলাদা প্লেস। বটতলায়, ডিপার্টমেন্টে, ফ্যাকাল্টিতে পূজার অনুষ্ঠান আজ পর্যন্ত দেখি নাই।</t>
  </si>
  <si>
    <t>তারা আরও ধারণা করতো যে, আল্লাহর সঙ্গে জ্বিনজাতির আত্মীয়তা-ধরনের কোনো সম্পর্ক আছে তারা আল্লাহর পুত্র বলেও সাব্যস্থ করেছিলো এবং তৎকালীন আঞ্চলিক দেবতা লা'ত, উজ্জা, মানাতকে তারা আল্লাহর কন্যা সাব্যস্থ করেছিলো</t>
  </si>
  <si>
    <t>মুসলমানদের অস্তিত্ব মুছে ফেলতেই কিছু কিছু জায়গায় হিন্দুরা পরিকল্পিতভাবে হিন্দুত্ব চাপিয়ে দিচ্ছে, আমার মনে হয় এইটা ধর্মীয় নিধনের সরাসরি প্রমাণ।</t>
  </si>
  <si>
    <t>ধর্ম নিয়ে কটাক্ষকারীরা নিচু মানসিকতার, যারা সাহস না পেয়ে সামাজিক যোগাযোগমাধ্যমে লুকিয়ে আক্রমণ করে এবং অন্যদের নিয়ে মজা করে, যা দুঃখজনক।</t>
  </si>
  <si>
    <t>টাঙ্গাইলে মুসলিম কবরস্থানের পাশে খ্রিস্টান গির্জা নির্মাণকে কেন্দ্র করে সংঘর্ষ সৃষ্টি হয়, পরে গির্জার দেয়াল গুঁড়িয়ে ফেলা হয়।</t>
  </si>
  <si>
    <t>একঈশ্বরবাদীদের জন্য এটি পবিত্র স্থান, যেখানে আব্রাহাম, যিশু ও মুহাম্মাদ তাদের ধর্মীয় শিক্ষা শুরু করেন এবং তা বিশ্বজুড়ে ছড়িয়ে পড়ে।</t>
  </si>
  <si>
    <t>হিন্দু সম্প্রদায়ের কিছু উগ্র গোষ্ঠী ধর্মীয় বিদ্বেষ ছড়িয়ে দেশে সাম্প্রদায়িক উত্তেজনা বাড়িয়ে তুলছে।</t>
  </si>
  <si>
    <t>২০২১ সালের ১৭ মার্চ সুনামগঞ্জের হবিবপুর নোয়াগাঁওয়ে এক হিন্দু যুবকের ইসলামি পণ্ডিত মামুনুল হককে কটুক্তি করার অভিযোগে শতাধিক হিন্দু বাড়িঘরে হামলা হয়।</t>
  </si>
  <si>
    <t>প্রত‍্যেক সনাতনী পরিবারের প‍ুরুষ সদস‍্য গণ যদি সচেতন হয় ও মহিলাদের সম্মান ও ধর্ম চর্চা সম্পর্কে সচেতন করে তাহলে পূজার সময় অসভ‍্য নাচ গান বিলুপ্ত করে সভ‍্য সমাজ গড়া সম্ভব।</t>
  </si>
  <si>
    <t>ইসলাম কোন ধরনের ধর্মীয় সংঘাতকে সমর্থন করে না।</t>
  </si>
  <si>
    <t>মানুষের ভাগ্যে যা ঘটে তা পূর্ব থেকেই আল্লাহ নির্ধারণ করে রেখেছেন। ইরশাদ হয়েছে, ‘পৃথিবীতে অথবা ব্যক্তিগতভাবে তোমাদের ওপর যে বিপর্যয় আসে আমি তা সংঘটিত করার আগেই তা লিপিবদ্ধ থাকে। আল্লাহর পক্ষে এটা খুবই সহজ।</t>
  </si>
  <si>
    <t>বড় পুলিশ অধীক্ষক আহত হন, ADM ডি.পি. সিংকে কয়েকজন ধরে নিয়ে গিয়ে হত্যা করে। পুলিশ ভিড়ের ওপর গুলি চালায়, এতে অনেক মুসলিম নিহত হন; মুসলিম নেতা এই ঘটনার তুলনা জালিয়ানওয়ালাবাগ হত্যাকাণ্ডের সঙ্গে করেন।</t>
  </si>
  <si>
    <t>২০১৮ সালের এপ্রিল মাসে এক ধর্মীয় গোষ্ঠীর লোকদের রাষ্ট্রীয়ভাবে নাগরিকত্ব বাতিল করে, যার ফলে তারা নিঃস্ব হয়ে পড়ে এবং দারিদ্র্য ও অসুস্থতায় ৫৭ জন মারা যায়।</t>
  </si>
  <si>
    <t>শহরে তিনজন মুসলিম ছাত্রকে তাদের বাসায় ঢুকে গুলি করে হত্যা করা হয়, যা ধর্মীয় বিদ্বেষের আতঙ্কের এক জঘন্য উদাহরণ, যেখানে ধর্মের কারণে নিষ্ঠুর হত্যাকাণ্ড সংঘটিত হয়।</t>
  </si>
  <si>
    <t>টাঙ্গাইলের গোপালপুরে ২০০ গম্বুজ মসজিদে করোনাভাইরাসের সংক্রমণ রোধে জুমা ও পাঁচ ওয়াক্ত নামাজ সাময়িকভাবে স্থগিত করেছে মসজিদ কমিটি।</t>
  </si>
  <si>
    <t>ভাগলপুরে সাম্প্রদায়িক দাঙ্গায় প্রায় ১,০০০ জন নিহত হন, যাদের অধিকাংশই মুসলিম, এবং বহু ঘরবাড়ি পুড়িয়ে দেওয়া হয়।</t>
  </si>
  <si>
    <t>আমার সমস্ত মন খারাপ, দুশ্চিন্তা আর হতাশার শেষ ঠিকানা এই ভিডিওটা, আল্লাহর রহমতে সব দুশ্চিন্তা দূর হয়ে যায়, মনে হয় তিনি সব দেখছেন, সব ঠিক করে দেবেন ইনশাআল্লাহ।</t>
  </si>
  <si>
    <t>বরিশালে হিন্দু-মুসলিম সংঘর্ষে দুই পক্ষের মধ্যে মারাত্মক সহিংসতা ঘটে। সংঘর্ষকারীরা বিভিন্ন প্রকার আগ্নেয়াস্ত্র ব্যবহার করে, যার ফলে ৩৬ জন নিহত হন। এছাড়া, সংঘর্ষের ফলে বহু ব্যবসায়িক প্রতিষ্ঠান ও বাড়িঘর পুড়িয়ে দেওয়া হয়, ফলে অসংখ্য মানুষ গৃহহীন হয়ে পড়ে।</t>
  </si>
  <si>
    <t>মুসলিম উগ্রবাদীরা অন্য ধর্মের প্রতি ঘৃণা ছড়িয়ে সমাজে বিভাজন ও অশান্তি সৃষ্টি করছে।</t>
  </si>
  <si>
    <t>নবজাগরণ শাসনামলে গো-রক্ষার নামে বেশ কিছু মুসলিম ও দলিত সম্প্রদায়ের মানুষের ওপর হামলা হয়, যেখানে অনেকে নিহত হন।</t>
  </si>
  <si>
    <t>খ্রিস্টান মিশনারিরা ধর্মান্তরের নামে সমাজে বিভাজন ও সংঘাতের সৃষ্টি করছে যা দেশের শান্তিকে বিপন্ন করছে।</t>
  </si>
  <si>
    <t>একজন সত্যিকারের মুসলমান কখনো এমন কাজ করতে পারেন না। আমাদের ধর্ম আমাদেরকে সবসময় ন্যায়বিচার ও মানবতার শিক্ষা দেয়, এবং বিনা কারণে কারো প্রতি অন্যায় করতে নিষেধ করে।</t>
  </si>
  <si>
    <t>তীব্র নিন্দা জানাই তীব্র নিন্দা জানাই। দিনাজপুরে হিন্দু মন্দির দখল করে মসজিদ বানানো হচ্ছে। এইসব ইসলামপন্থী জঙ্গিরা হিন্দুদের ধর্মস্থানের ওপর হামলা চালাচ্ছে।</t>
  </si>
  <si>
    <t>নূরগঞ্জের মসজিদে বোমা হামলায় বহু লোক নিহত হলেও, কোনো দেশ থেকে এর বিরুদ্ধে প্রতিবাদ হয়নি।</t>
  </si>
  <si>
    <t>ঢাকার উপকণ্ঠে একটি হিন্দু পাড়ায় বিদ্যুৎ সংযোগ কেটে দেয়া হয় “ধর্মীয় শুদ্ধতা বজায় রাখতে” বলে হুমকি দেয় স্থানীয় ধর্মীয় নেতা।</t>
  </si>
  <si>
    <t>যারা মুক্তিযুদ্ধের চেতনার নামে ধর্ম পালনকে জামায়াত-শিবিরের কার্যক্রম নামে আখ্যা দেয় তারা আদতে জামায়াত-শিবির বিদ্বেষী না বরং ইসলাম বিরোধী।</t>
  </si>
  <si>
    <t>আল্লাহ! তিনি ছাড়া অন্য কোনো উপাস্য নেই, তিনি জীবিত, সবকিছুর ধারক। তাঁকে তন্দ্রাও স্পর্শ করতে পারে না এবং নিদ্রাও নয়।</t>
  </si>
  <si>
    <t>এ সময় শতভাগ প্রস্তুত চারটি কালীমূর্তি এবং রঙপলিশের জন্য রাখা আরও ৪৯টি সরস্বতী প্রতিমা ভাঙা হয়। পুলিশ জানায় অপরাধিকে শনাক্ত করা সম্ভব হয়নি।</t>
  </si>
  <si>
    <t>তারা পুজায় ইফতার এর চেয়ে বেশি খরচ করে। যেই মূর্তি ডুবিয়েই দিবে তা লক্ষ লক্ষ টাকা দিয়ে না কিনে গরীবদের মাঝে বিলিয়ে দিক।</t>
  </si>
  <si>
    <t>মুশফিকের কোরবানির ছবি পোস্ট করার জন্য কত হেনস্তার শিকার হইছে।যারা হেনস্তা করেছে তারাই আজ চঞ্চলের জন্য মায়াকান্না করছে।এরা নির্লজ্জ,বেহায়া।</t>
  </si>
  <si>
    <t>২০১৯ সালের নভেম্বর মাসে এক ধর্মীয় গোষ্ঠী এক গির্জায় বোমা হামলা চালিয়ে ৪২ জন নিহত করে; গির্জাটি সম্পূর্ণ ধ্বংস হয়।</t>
  </si>
  <si>
    <t>রাজশাহী বিভাগের সাঁওতাল গ্রামের বাসিন্দারা আক্রান্ত, আটক এবং নারীদের ধর্ষণ করা হয়। ডিসেম্বর ১০ তারিখে উগ্র জনতা পুঠিয়া রাজবাড়ি ও আশপাশের বাড়িঘর লুটপাট ও দখল করে।</t>
  </si>
  <si>
    <t>যারা ইসলামকে অপমান করে তাদের বিরুদ্ধে ২৯৫(ক) প্রয়োগ না করলে প্রমাণ হবে এই রাষ্ট্র কাফেরদের দোসর এবং মুসলমানদের অধিকার রক্ষা করতে ব্যর্থ।</t>
  </si>
  <si>
    <t>বৌদ্ধ সম্প্রদায়ের কিছু সদস্য অন্য ধর্মাবলম্বীদের সম্পর্কে অবজ্ঞাসূচক মন্তব্য করে যা ধর্মীয় সহনশীলতাকে ক্ষতিগ্রস্ত করে।</t>
  </si>
  <si>
    <t>মুসলিমরা সম্পূর্ণ গ্রাম ধরে লুটপাট ও অগ্নি সংযোগ করে এবং সকল পারিবারিক মন্দির, উপাসনালয় ও পবিত্র তুলসীমঞ্চ গুলো ধ্বংস করে ফেলে। পাশের গ্রাম মন্মথপুরের মহেন্দ্র চন্দ্র দে, কামাকান্ত ধর, অশ্বিনী কুমার দে’র বাড়িসহ সকল হিন্দুবাড়ি লুট করে।</t>
  </si>
  <si>
    <t>শকুন একটি মৃত গরুর মাংস এনে শিশুর অনুরোধে গিয়ে শুকরের মাংস মসজিদের পাশে এবং গরুর মাংস মন্দিরের পাশে ফেলে রেখে আসে।</t>
  </si>
  <si>
    <t>উইসকনসিনের একটি শিখ গুরদোয়ারে এক শ্বেতাঙ্গ শ্রেষ্ঠত্ববাদী বন্দুকধারী হামলা চালিয়ে ছয়জনকে হত্যা করে, যা ধর্মীয় বিদ্বেষ থেকে উৎসারিত সহিংসতার উদাহরণ।</t>
  </si>
  <si>
    <t>২৩শে এপ্রিল থেকে রাজশাহী বিভাগের বিভিন্ন স্থানে সংখ্যালঘু হিন্দু সম্প্রদায়ের ওপর ধারাবাহিক আক্রমণ চলে, খুন ধর্ষণ লুটপাট হয়, পালাতে গিয়ে রেলস্টেশনে হামলার শিকার হন অনেকেই।</t>
  </si>
  <si>
    <t>বখতিয়ার খিলজী বৌদ্ধদের ওপর কোন ধরনের নির্যাতন করেছেন এমন তথ্য ইতিহাসে নেই বরং বৌদ্ধদের আহ্বানে বঙ্গ বিজয়ের জন্য বখতিয়ার খিলজী সেনা অভিযান পরিচালনা করেন। এমনকি বাংলা বিজয়ের পর তিনি বৌদ্ধদের কাছ থেকে জিজিয়া কর আদায় থেকে বিরত থাকেন।</t>
  </si>
  <si>
    <t>আল্লাহ্ জানি না এই নাস্তিকদের তুমি কি শাশ্তি দিবা।আল্লাহ তোমার কুরআনকে যারা অবমাননা করছে। তুমি তাদের এমন শাস্তি দাও।যাতে এরকম কাছ যেন সামনে আর কেউ না করে।</t>
  </si>
  <si>
    <t>হিন্দুধর্ম এবং অন্যান্য ঘৃণ্য অপরাধ সম্পর্কে সচেতনতা ছড়িয়ে দেওয়ার জন্য মেয়র একটি পরিচ্ছন্নতা অভিযানের প্রচেষ্টা করেছিলেন। মন্দিরে হামলার জন্য ১৭ বছর বয়সী একজনকে গ্রেফতার করা হয়েছিল।[</t>
  </si>
  <si>
    <t>অপরিচিত মহিলাদের ছবি দেখা বা তাদের সরাসরি দেখা শরীয়তের বিরুদ্ধে এবং হারাম, কারণ এটি চোখের জিনার অন্তর্ভুক্ত।</t>
  </si>
  <si>
    <t>আমি মনে করি না হিন্দু সম্প্রদায়ের কোনো ব্যক্তি এই কাজে জড়িত, তবে যদি ধরা হয় যে কেউ জড়িত, তবে দেশে আইন, পুলিশ এবং গোয়েন্দা সংস্থা আছে যারা এর সত্যতা বের করবে এবং অপরাধীকে আইনের আওতায় আনবে, এটাই হওয়া উচিত।</t>
  </si>
  <si>
    <t>আল্লাহর বিধি মেনে চলার ফলে আমরা সামাজিকভাবে সঠিক এবং ন্যায়ের পথে চলতে পারি, যা আমাদের সম্মান বৃদ্ধি করে।</t>
  </si>
  <si>
    <t>রমাদ্বান পাপী হৃদয়ে জন্য ক্ষমার মহিমার আনন্দের বর্তা নিয়ে আসে- এর চেয়ে আনন্দ আর কী হতে পারে?</t>
  </si>
  <si>
    <t>আমি বাইবেল গীতা সব ধর্ম গ্রন্থ কে আমরা সম্মান করি দুঃখের বিষয় মুসলিমদের আল কুরআন পুড়িয়ে ভিন্ন দৃষ্টান্ত সৃষ্টি করেছে এর জন্য ধিক্কার জানাই ...আল্লাহ আপনি পবিত্র কুরআন শরীফ কে রক্ষা করুন আমিন</t>
  </si>
  <si>
    <t>৭৫ বছর ধরে মসজিদটি রয়েছে, হিন্দু সম্প্রদায়ও তা জানে। ২০১৫ সালে এমপি মনোরঞ্জন শীল গোপাল সেখানে অনুদানও দেন, যার প্রমাণ রয়েছে।</t>
  </si>
  <si>
    <t>এক ধর্মীয় গ্রন্থের বিকৃত ব্যাখ্যা দিয়ে গোষ্ঠীগত ধর্ষণ এবং গণহত্যা সংগঠিত হয়, অন্তত ৬৪ জন নিহত হন।</t>
  </si>
  <si>
    <t>জনসংখ্যা গবেষণা পণ্ডিত আশীষ বসুর মতে ১৯৮০ এর দশকের পর আফগানিস্তানে ইসলামী মৌলবাদের উত্থানের সাথে সাথে হিন্দুরা "তীব্র ঘৃণার" শিকার হয়ে ওঠে।</t>
  </si>
  <si>
    <t>ফেনীতে হিন্দু-মুসলিম সংঘর্ষে অন্তত ২৯ জন প্রাণ হারায় এবং সংঘর্ষের ফলে ব্যাপক ক্ষয়ক্ষতি হয়।</t>
  </si>
  <si>
    <t>হাজারীবাগের ভাগলপুর লেনের তিনটি হিন্দু মন্দির লুটপাট ও ভাংচুর করা হয়।বেলতলী লেনে ১৭ জন নিরীহ হিন্দুকে কুপিয়ে জখম করে তারা।</t>
  </si>
  <si>
    <t>যারা আমাদের ধর্মান্ধ ডাকে আমি অবাক হই, এদের বুদ্ধির সীমাবদ্ধতা দেখে। সোশ্যাল মিডিয়ার আমাদের পোস্ট নিজেদের মত করে বুঝে এরা মনে মনে কল্পনা করে নেয় -যেন যেলাইফস্প্রিং একটা মাদ্রাসা ।</t>
  </si>
  <si>
    <t>ধ্রুপদী ধর্মীয় বর্ণনা অনুযায়ী, ইসলাম পূর্ব যুগের হানিফ ধর্মাবলম্বী আরব কবিদের কবিতায় একজন নবীর আগমনের ভবিষ্যদ্বাণী ছিল।</t>
  </si>
  <si>
    <t>ইতিহাসে ধর্মীয় প্রতিষ্ঠানগুলোর ক্ষমতা সংরক্ষণের একটি উপায় হিসেবে এই ধারণাটি গুরুত্ব পেয়েছে যে, ঈশ্বর, ধর্ম ও ধর্মীয় বিষয়গুলো অত্যন্ত পবিত্র এবং তাই এগুলোকে শ্রদ্ধার সঙ্গে বিবেচনা করা হয়।</t>
  </si>
  <si>
    <t>২০১৭ সালের সেপ্টেম্বর মাসে এক গোষ্ঠী সংখ্যালঘুদের ওপর ধর্মীয় চাপ সৃষ্টি করে ১৮ জন নিহত হয়।</t>
  </si>
  <si>
    <t>২৯ অক্টোবর ২০২২ গাইবান্ধার সুন্দরগঞ্জে পূজা চলাকালীন সময়ে হঠাৎ একদল ব্যক্তি ঢুকে প্রতিমার পেছনের কাঠামো ভেঙে ফেলে</t>
  </si>
  <si>
    <t>ইসলামের শত্রু সবসময় থাকবে, কিন্তু কোরআনের প্রেমিক মুসলমানরা তাদের ষড়যন্ত্র নস্যাৎ করে আবার একত্রিত হবে ইনশাআল্লাহ।</t>
  </si>
  <si>
    <t>হাজার হাজার মুসলিম বিভিন্ন গ্রাম থেকে সমাবেশস্থলে এসে জমা হতে পারে এজন্য গ্রামের বিভিন্ন হাটবাজারে ২০ মার্চে ঢোল পিটিয়ে জানিয়ে দেয়া হয়।মুসলিম সমাবেশের সংবাদ পেয়ে ভীত-সন্ত্রস্ত হিন্দুরা পুনরায় দাঙ্গার আশঙ্কায় তাদের ঘর-বাড়ি, আশ্রয়কেন্দ্র ছেড়ে পালাতে শুরু করেন।</t>
  </si>
  <si>
    <t>রংপুরে ধর্মীয় দাঙ্গায় ৪৫ জন নিহত হন। পুলিশ সহিংসতা দমনে ব্যর্থ হয়, সরকার সবাইকে শান্ত থাকার নির্দেশ দেয়। বহু সংখ্যালঘু পরিবার নিরাপত্তার জন্য গ্রাম ছেড়ে চলে যায়।</t>
  </si>
  <si>
    <t>বিশ্ববিদ্যালয় কেন্দ্রিক ষড়যন্ত্র ছাড়াও ব্রাজিল থেকে আমদানিকৃত চিনির গুদামে আগুন, খেজুরকে বিলাসী দ্রব্য হিসেবে অভিহিত করে চড়া শুল্ক আরোপসহ মুসলিমদের জন্য রমাদান মাসটাকে কঠিন করে দেয়ার পেছনে কাদের হাত আছে? একটু ভেবে দেখুন, ভাবার চেষ্টা করুন!</t>
  </si>
  <si>
    <t>পাপ করলেই নরকে যাওয়া নয়; সংসার ধর্ম পালনে পুণ্য হয়, যা জীবনে শান্তি ও পরকালের স্বর্গ সৃষ্টি করে।</t>
  </si>
  <si>
    <t>রাজশাহীতে হিন্দু ধর্মীয় শোভাযাত্রার সময় একদল দাঙ্গাবাজ লাঠিসোটা নিয়ে হামলা চালায় এবং শোভাযাত্রার প্রতীক মূর্তি ভেঙে ফেলে।</t>
  </si>
  <si>
    <t>এই জন্যই বিবেকানন্দ বলেছেন, বহু রুপে সন্মুখে তোমার ছাড়ি কোথা খুঁজিছ ঈশ্বর। মানুষের মাঝে ভগবান। বিশ্বের সমস্ত প্রানির মধ্যে ভগবানের অস্তিত্ব। মনটা কে মন্দির কর সেখানেই ভগবান আছে।</t>
  </si>
  <si>
    <t>হিন্দুদেরকে পুলিশ স্টেশনে যে কোন অভিযোগ প্রদানে বাধা দেয়া হত এবং যে সকল হিন্দু কোন অভিযোগ দায়ের করেছিল তাদেরকে সে গুলো উঠিয়ে নেয়ার জন্য মুসলিমরা হুমকি দিত।</t>
  </si>
  <si>
    <t>এক শ্বেতাঙ্গ শ্রেষ্ঠত্ববাদী বন্দুকধারী একটি ব্ল্যাক চার্চে গুলি চালিয়ে ৯ জনকে হত্যা করে, যা জাতিগত ও ধর্মীয় বিদ্বেষের নজির।</t>
  </si>
  <si>
    <t>যখন মন খারাপ থাকে, চারদিকে অন্ধকার দেখি, তখন ওনার লেকচার শুনি। আলহামদুলিল্লাহ, পুনরায় আশার আলো খুঁজে পাই। তিনিসহ যারা তার কথাগুলো তুলে ধরার নিখুঁত চেষ্টা করে যাচ্ছে, আল্লাহ সবাইকে নেক হায়াত ও উত্তম বিনিময় দান করুন।</t>
  </si>
  <si>
    <t>বাগেরহাটে ধর্মীয় অবমাননার অভিযোগে হিন্দুদের বাড়িতে আগুন দেয়া হয় এবং নিকটবর্তী একটি মন্দিরে হামলা চালানো হয়। ১২ এপ্রিল ঘটনায় জরিত সাত জনকে আটক করে পুলিশ।[</t>
  </si>
  <si>
    <t>দেশবিভাগের একমাসের মধ্যেই ঢাকাতে জন্মাষ্টমী শোভাযাত্রায় মুসলিমরা আক্রমণ করে।১৯৪৮ সালে বিখ্যাত ধামরাই রথযাত্রা এবং জন্মাষ্টমী শোভাযাত্রা নিষিদ্ধ করা হয়।</t>
  </si>
  <si>
    <t>কুরআনে মানবজাতিকে সৃষ্টির শ্রেষ্ঠ বলা হয়েছে, তারা শান্তি ও ন্যায় প্রতিষ্ঠায় কাজ করে। শয়তান মানব সৃষ্টির বিরুদ্ধে আপত্তি করেছিল।</t>
  </si>
  <si>
    <t>খাইরুন নাহার এই শুয়োরের বাচ্চাদের অত্যাচারে মারা গেছেন। উনি আত্মহত্যা করেননি উনাকে খুন করা হয়েছে</t>
  </si>
  <si>
    <t>রাতের কোনো এক সময়ে ধনতলা ইউনিয়নের সিন্দুরপিণ্ডি এলাকার আটটি, পাড়িয়া ইউনিয়নের কলেজপাড়া এলাকার তিনটি ও চাড়োল ইউনিয়নের সাহবাজপুর নাথপাড়া এলাকার একটি মন্দিরের ওই ১৪টি প্রতিমা ভাঙচুর করেছে দুর্বৃত্তরা।</t>
  </si>
  <si>
    <t>ভাষণ দিলে আপনিও আগে বলুন, হিন্দু ব্রাহ্মণরা যে বৌদ্ধ জৈনদের মন্দির ভেঙে দিয়েছিলো, সেগুলোর ইতিহাস কি মুছে ফেলতে পারবেন?</t>
  </si>
  <si>
    <t>কিশোরগঞ্জে গুজব রটে হিন্দু শিক্ষক ইসলাম অবমাননা করেছেন, এরপর তাকে গালি দিয়ে বিদ্যালয় থেকে বের করে দেয়া হয়।</t>
  </si>
  <si>
    <t>ফরিদপুরে নিহত দুই এনজিও কর্মী ধর্মীয় উগ্রবাদের শিকার</t>
  </si>
  <si>
    <t>এপ্রিলের শেষের দিকে, খারনা এবং এলাহাবাদ গ্রাম থেকে রাজাকাররা হিন্দু গ্রামে নির্যাতন ও লুটপাটের জন্য টার্গেট করেছিল।</t>
  </si>
  <si>
    <t>তুমি একটা কাজ করতে পারো প্রথমে হিন্দু ধর্ম গ্রন্থের সম্পর্কে জ্ঞান অর্জন করো পরে ইসলাম ধর্মগ্রন্থ সম্পর্কে জানো তারপর নিজে নিজে বিশ্লেষণ করো আসলে কোন ধর্ম সত্য</t>
  </si>
  <si>
    <t>প্রতি বছর ফাল্গুনের কৃষ্ণ চতুর্দশীতে মহাশিবরাত্রি পালিত হয়; এবার উৎসব ২৬ ফেব্রুয়ারি, বুধবার।</t>
  </si>
  <si>
    <t>বুদ্ধ যখন জন্মন্তরের কথা, আত্মার কথা বলেন , নির্বানের কথা বলেন তখন পরোক্ষ ভাবে ঈশ্বরের কথা বলেন।</t>
  </si>
  <si>
    <t>জন্মগত ধর্ম পাওয়া যায়, কিন্তু মানুষ হতে অনেক কিছু জানতে হয়।</t>
  </si>
  <si>
    <t>আলহামদুলিল্লাহ এই ভিডিও দেখার আগেও ১০০% কনফার্ম ছিলাম কুরআন আল্লাহর লেখা পরেও ১০০% বিশ্বাস করি কুরআন আল্লাহরই লিখা বানি। তবে ভিডিও দেখে অনেক কিছু শিখলাম যেটা আগে জানতাম না।</t>
  </si>
  <si>
    <t>হিন্দু পুরুষদেরকে মুসলিমরা জোর করে মসজিদে নিয়ে নামাজ পড়াত। হিন্দুদেরকে জোর করে গরুর মাংস খেতে বাধ্য করা হয় কারণ হিন্দুধর্মানুসারে গরু তাদের কাছে পবিত্র প্রাণী বিধায় এর মাংস তারা খায় না। হিন্দু মেয়ে এবং মহিলাদের মুসলিমরা জোর করে বিয়ে করে।</t>
  </si>
  <si>
    <t>১৯২১ সালের ২২ শে মে বরিশাল জেলার নালি গ্রামে আক্রমণ করে। বাঙালি হিন্দু গ্রামবাসীরা বর্শা নিয়ে প্রতিরোধ করেছিল। তবে তারা সহযোগীদের দ্বারা পরাভুত হয়, এবং তারা ১৫ জন গ্রামবাসীকে গুলি করে হত্যা করেছিল।</t>
  </si>
  <si>
    <t>শত বছরের ইসলামী সম্প্রীতি নষ্ট করতে কিছু কুচক্রী ভিন্ন ধর্ম গোষ্ঠী নির্বাচনের আগে ইসলামবিরোধী ষড়যন্ত্রে লিপ্ত হয়ে মুসলমানদের দুর্বল করতে চাচ্ছে ।</t>
  </si>
  <si>
    <t>এক ধর্মীয় আশ্রমে মুসলিম উগ্রদের সহিংসতায় মঠের সব স্থাপনা গুঁড়িয়ে যায় এবং তারা দুইজন নিরীহকে হত্যা করে, আতঙ্কে কয়েকজন আত্মহত্যার পথ বেছে নিতে বাধ্য হয়।</t>
  </si>
  <si>
    <t>চাঁপাইনবাবগঞ্জে ধর্মীয় সংঘর্ষে সংখ্যালঘু হিন্দু সম্প্রদায়ের ওপর হামলায় অন্তত ৪২ জন নিহত হন। প্রশাসন পরিস্থিতি নিয়ন্ত্রণে রাখতে ব্যর্থ হয় এবং তাতে ক্ষোভ আরও বাড়ে।</t>
  </si>
  <si>
    <t>ওরা নামাজ পড়ে আর পেছনে গিয়ে কুৎসিত রাজনীতি করে, ইসলাম আসলেই বিপদের উৎস।</t>
  </si>
  <si>
    <t>বাংলাদেশে হিন্দু সম্প্রদায়ের উপর হামলা: অস্ট্রেলিয়ার বাংলাদেশি কমিউনিটির ক্ষুব্ধ প্রতিক্রিয়া</t>
  </si>
  <si>
    <t>নাস্তিকরা আরেকজন নারীকে মুহাম্মাদ (সা.)-এর দাসী অপবাদ দিয়ে থাকে। তিনি হলেন সমস্ত মুসলিমের মাতা হযরত রায়হানা (রা.)।</t>
  </si>
  <si>
    <t>আমরা দোয়া করি, আল্লাহ্ সুবহানাহু ওয়া তা'আলা যেন আমাদের সঠিক পথে পরিচালিত করেন এবং কল্যাণের দলে রাখেন। আল্লাহ্ হুম্মা আমিন। আমরা আমাদের সকল কাজ ভালো নিয়তে, আল্লাহ্-র সন্তুষ্টির জন্য করি। আমিন।</t>
  </si>
  <si>
    <t>২০১৮ সালের জানুয়ারিতে এক গোষ্ঠী ধর্মীয় গোষ্ঠীর মধ্যে সংঘর্ষে ৩১ জন নিহত হয়; ব্যাপক রকমের ক্ষতি হয়।</t>
  </si>
  <si>
    <t>তার স্ত্রী নওমুসলিম স্নেহা নিজে সাক্ষী দিয়েছেন যে, তাকে অপহরণ করা হয়নি সেচ্ছায় সজ্ঞানে তিনি মুসলমান হয়েছেন এবং নিজ ইচ্ছায় জেলবন্দী নওমুসলিমকে বিয়ে করেছেন।</t>
  </si>
  <si>
    <t>ধর্মে মৃত যেনো অসন্মানিত না হয়- এমন বলা থাকলেও অতি ধর্মপ্রানেরা নিয়ন্ত্রণ রাখতে পারেননা। অতএব যিনি শিল্পী তাঁর জন্য জীবিত ও মৃত উভয়কালে অসন্মানিত হওয়ার সুবন্দোবস্ত রয়েছে</t>
  </si>
  <si>
    <t>চরভদ্রাসন পদ্মার দক্ষিণ তীরে অবস্থিত। এই অঞ্চলটি নদীর তীরবর্তী বালুময়, যা সময়ের সাথে সাথে তার গঠন পরিবর্তন করে। চর শব্দের আভিধানিক অর্থ একটি বালুময় স্থান। এই স্থানের উপর অবস্থিত বৈদ্যডাঙ্গী, মাঝিদাঙ্গী এবং বালাদাঙ্গী গ্রামগুলি কৃষক এবং জেলেদের বর্ণের হিন্দু গ্রাম ছিল।</t>
  </si>
  <si>
    <t>কুমিল্লার নানুয়া দীঘির পূজামণ্ডপে হনুমানের মূর্তির কোলের উপর একটি কুরআন শরীফ পাওয়া যায়। এ ঘটনা স্যোশাল মিডিয়ায় ছড়িয়ে পড়ার পর ফয়েজ আহমেদ নামে একজন ফেসবুক লাইভে বিষয়টি প্রকাশ করেন। খবর পেয়ে উগ্র মুসলমানদের একটি দল মণ্ডপে হামলা চালিয়ে প্রতিমা ভাঙচুর করে।</t>
  </si>
  <si>
    <t>আরে ভাই-কার মাযহাবে আমিন আস্তে বা জোড়ে,তারাবী ৮ বা ৩০ রাকাত,ফরজ নামাজের পর দোয়া করা বা না করা ইত্যাদি বিষয় নিয়ে এত কেন বাড়াবাড়ি ?????</t>
  </si>
  <si>
    <t>বাসুদেব শর্মা নামে একজন অত্যন্ত সজ্জন হিন্দু গুরু ছিলেন,যিনি সেখানকার হাজার হাজার হিন্দু শ্রমিকদের নিকট অত্যন্ত শ্রদ্ধার পাত্র ছিলেন।ঈদ-উল-ফিতরের দিনে নিরীহ এই মানুষটিকে মুসলিমরা জোর করে গো-মাংস ভক্ষণে বাধ্য করে।</t>
  </si>
  <si>
    <t>২০২0 সালে বাংলাদেশে কয়েকটি মসজিদে পাথর নিক্ষেপ ও আগুন লাগানোর ঘটনা ঘটে, যার ফলে নামাজরত ব্যক্তিরা আহত হন।</t>
  </si>
  <si>
    <t>আল্লাহ কুরআনে বলেছেন যে, সমস্ত মানুষের প্রতি দয়া ও শ্রদ্ধাশীল মনোভাব পোষণ করা উচিত, কারণ তিনি সকল সৃষ্টির রক্ষা করেছেন।</t>
  </si>
  <si>
    <t>ধর্ম যাই হোক না কেন, আমরা সবাই মানুষ এবং একে অপরের ভাই।</t>
  </si>
  <si>
    <t>ধর্মকে নিচু দেখিয়ে সামাজিক এই অবক্ষয় দূর করতে আশা করি আপনারা সফল হবেন।</t>
  </si>
  <si>
    <t>হিন্দু নিধন বলতে বিভিন্ন সময়ে অন্য ধর্মের হাতে হিন্দু ধর্মালম্বিদের নিহত হওয়ার ঘটনাসমূহকে অভিহিত করা হয়। হিন্দুরা যুগ যুগ ধরে এই নিপীড়ন ও নিষ্পেষণের স্বীকার হয়েছে। এদের মধ্যে জোরপূর্বক ধর্মান্তরকরণ, নথিভুক্ত গণহত্যা, মন্দির ও ধর্মীয় স্থান ধ্বংস করা, এবং শিক্ষা প্রতিষ্ঠান ধ্বংস করা উল্লেখিত।</t>
  </si>
  <si>
    <t>চাঁপাইনবাবগঞ্জে হিন্দু উৎসবের দিন বিদ্যুৎ বন্ধ করে দেয়া হয় এবং ঠাকুরের মূর্তির গায়ে রং ছিটিয়ে দেয় দুর্বৃত্তরা।</t>
  </si>
  <si>
    <t>মুসলিম যুবকদের মধ্যে ধর্মীয় উগ্রতাবাদ দ্রুত ছড়াচ্ছে, যারা অন্য ধর্মাবলম্বীদের প্রতি বিদ্বেষ ও আক্রমণাত্মক মনোভাব নিয়ে চলেছে।</t>
  </si>
  <si>
    <t>২০২০ সালের জুন মাসে এক গোষ্ঠী ধর্মীয় বিদ্বেষের কারণে এক সাংবাদিককে হত্যা করা হয়; বিক্ষোভ চলাকালীন ১১ জন নিহত হয়।</t>
  </si>
  <si>
    <t>ওই ঘটনায় সবচেয়ে বেশি ক্ষতিগ্রস্ত হয়েছে স্থানীয় মুসলমান ও বৌদ্ধ সম্প্রদায়ের মধ্যে সৌহার্দ, সম্প্রীতির জায়গাটি। যা ১০ বছর পরেও এখনও পুরোপুরি আগের অবস্থায় ফিরে আসেনি।</t>
  </si>
  <si>
    <t>রাঙ্গামাটিতে এক গির্জায় ঈশ্বরের ছবিতে কালো কালি ছুঁড়ে অপমান করে একদল অজ্ঞাত হামলাকারী।</t>
  </si>
  <si>
    <t>গাইবান্ধায় ধর্মীয় উত্তেজনার কারণে সংঘর্ষে ৪৫ জন প্রাণ হারায়। পুলিশ সহিংসতা দমনে ব্যর্থ হলেও সরকার শান্তি ও সহনশীলতার বার্তা দেয়। আক্রান্ত পরিবার নিরাপত্তার জন্য আশ্রয় খুঁজে নেয়।</t>
  </si>
  <si>
    <t>আমি একজন মুসলিম; যারা কুরআনকে অপমান করেছে, তাদের কঠোর শাস্তি হওয়া উচিত। আল্লাহ কুরআনকে জালিমদের হাত থেকে রক্ষা করুন</t>
  </si>
  <si>
    <t>ধামরাইয়ে মন্দিরের জায়গা দখলে বাধা দেয়ায় বাড়িঘরে হামলা</t>
  </si>
  <si>
    <t>টঙ্গীপাড়া গ্রামের ভূঁইয়া বাড়ির মন্দির ভাঙচুর করা হয়। এই হামলায় ছয় জন আহত হয়।</t>
  </si>
  <si>
    <t>২০১৭ সালের অক্টোবর মাসে এক গোষ্ঠী সংখ্যালঘুদের ওপর কর চাপিয়ে দেয় এবং দিতে ব্যর্থ হলে তাদের বাড়িঘর জ্বালিয়ে দেয়, এতে ২৮ জন নিহত হয়।</t>
  </si>
  <si>
    <t>ধর্ম আমাদের আধ্যাত্মিক পথের দিকে পরিচালিত করে, যা আমাদের জীবনের অর্থ খুঁজে পাওয়ার জন্য গুরুত্বপূর্ণ, তবে এই পথ কখনোই অন্যদের বিরুদ্ধে বিদ্বেষ বা বিরোধ তৈরি করার জন্য নয়, বরং পৃথিবীকে শান্তিপূর্ণ ও সমৃদ্ধশালী করতে সাহায্য করে।</t>
  </si>
  <si>
    <t>বৌদ্ধ সম্প্রদায়ের কিছু তরুণ ধর্মীয় মঞ্চ থেকে অন্য ধর্মাবলম্বীদের বিরুদ্ধে বিদ্বেষমূলক বক্তব্য দেয় যা সামাজিক অশান্তির কারণ।</t>
  </si>
  <si>
    <t>বাংলাদেশের একটি শহরে সশস্ত্র ব্যক্তিদের থিয়েটারে গুলিতে ১৩৩ জন নিহত এবং প্রায় দেড়শ আহত হয়।</t>
  </si>
  <si>
    <t>ভিত্তিহীন সংবাদ ছড়ানোর দরকার নেই। এই মসজিদে আদম (আঃ)-এর স্পর্শ রয়েছে, তাই শুধুমাত্র মুসলিমদের অধিকার আছে।</t>
  </si>
  <si>
    <t>ধর্ম রক্ষার নামে পবিত্রতার মুখোশে আত্মঘাতী হামলা চালিয়ে নিরীহদের হত্যা করা হচ্ছে দেশে বারবার, যেন আত্মত্যাগ নয় বরং নিষ্ঠুরতার নতুন ধর্মীয় সংজ্ঞা তৈরি হচ্ছে প্রতিনিয়ত।</t>
  </si>
  <si>
    <t>সাতক্ষীরায় গুজব ছড়িয়ে দেয়া হয় যে হিন্দু যুবক মুসলিম নারীর ছবি বিকৃত করেছে, এরপর মন্দিরে হামলা ও বাড়িঘর জ্বালানো হয়।</t>
  </si>
  <si>
    <t>ভিডিওটি সকলের অনেক উপকারে আসবে। সবাই সব সময় তিলাওয়াত করে এরকম সূরা যেমন: সূরা ইয়াসিন, সূরা আর-রাহমান ইত্যাদি দিয়ে একটা ভিডিও করলে আমার মনে হয় আরও ভালো হবে। আপনাকে অনেক ধন্যবাদ ও শুভ কামনা রইল।</t>
  </si>
  <si>
    <t>সম্প্রতি ব্রাহ্মণবাড়িয়ার নাসিরনগরে ধর্মান্ধদের ঘৃণ্য অপকর্মের তান্ডবে অনেক সংখ্যালঘু মানুষ স্বজনের চরম বিপন্নতা জেনেও মনের আর্তিটুকু পর্যন্ত জানাতে ভয় পান!</t>
  </si>
  <si>
    <t>৬৩২ খ্রিস্টাব্দে বিদায় হজ্জ থেকে ফেরার কয়েক মাস পর তিনি অসুস্থ হয়ে পড়েন এবং মৃত্যুবরণ করেন। তার মৃত্যুর সময়, আরব উপদ্বীপের অধিকাংশ অঞ্চলে ইসলাম প্রতিষ্ঠিত হয়।</t>
  </si>
  <si>
    <t>বিশ্ব স্বাস্থ্য সংস্থার রিপোর্ট অনুযায়ী, বিশ্বে প্রতি বছর আত্মহত্যা করেন প্রায় ১০ লাখ মানুষ। সারা বিশ্বে যেসব কারণে মানুষের মৃত্যু ঘটে তার মধ্যে আত্মহত্যা হলো ত্রয়োদশতম প্রধান কারণ।</t>
  </si>
  <si>
    <t>তাদের সত্যের পথে পরিচালিত করুন, সঠিক জ্ঞান দিন এবং ইসলামের শান্তিময় শিক্ষা হৃদয়ে প্রবাহিত করে কল্যাণের পথে এগিয়ে যেতে সাহায্য করুন। ‘লা ইলাহা ইল্লাল্লাহু মুহাম্মাদুর রাসুলুল্লাহ সাঃ।’</t>
  </si>
  <si>
    <t>যশোরে হিন্দুদের শিব মন্দির দখল করতে চাওয়া মুসলিম ব্যক্তি গ্রেপ্তার</t>
  </si>
  <si>
    <t>ঢাকার একটি দুর্গাপূজা প্যাণ্ডেলে কুরআন শরীফ পাওয়ার ঘটনাকে কেন্দ্র করে হামলা ও ভাঙচুরের ঘটনা ঘটে, হিন্দু সম্প্রদায়ের বাড়ি-ঘর ও ব্যবসায় ক্ষতি হয় এবং একজন নিহত হন।</t>
  </si>
  <si>
    <t>আমার আচরণ যদি খারাপ হয়, তবে একজন অজ্ঞ মুসলিম বা ইসলাম সম্পর্কে নেতিবাচক ধারণা রাখা অমুসলিম আমার মাধ্যমে ইসলাম ও মুসলিমদের সম্পর্কে ভুল ধারণা পেতে পারে।</t>
  </si>
  <si>
    <t>২০১৯ সালের জানুয়ারিতে এক ধর্মীয় গোষ্ঠীর লোকদের উপর হামলা চালিয়ে ৩০ জন নিহত হয়।</t>
  </si>
  <si>
    <t>প্রথমত হামলার মূল প্রসঙ্গটি নিয়ে আমাদের প্রধান কথা হচ্ছে, কোনো সংখ্যালঘু সম্প্রদায় কিংবা ইসলামের কোনো বিচ্যুত অথবা বের হয়ে যাওয়া উপদলের ধর্মীয় কেন্দ্র অথবা উপাসনালয়ে হামলা করা কোনোভাবেই শরীয়তসিদ্ধ কাজ নয়। কোনো মুসলমানের জন্যই এটা ইসলাম নির্দেশিত অথবা অনুমোদিত কোনো কাজ নয়। ইসলামের দৃষ্টিতে এ ধরনের হামলা নিন্দনীয় ও শাস্তিযোগ্য অপরাধ।</t>
  </si>
  <si>
    <t>রাঙ্গামাটিতে সাম্প্রদায়িক সহিংসতা ও অনিক কুমার চাকমা হত্যা মামলায় তিনজনকে গ্রেফতার করেছে পুলিশ। শুক্রবার (৪ অক্টোবর) গ্রেফতারকৃত এক আসামিকে আদালতে তোলা হলে তিনি স্বীকারোক্তিমূলক জবানবন্দি দেন।</t>
  </si>
  <si>
    <t>পবিত্র গীতা, কোরআন, বাইবেল বা ত্রিপিটক, প্রত্যেকটিতেই মানুষের কল্যাণ, সত্য ও ন্যায়ের পথ অনুসরণের বার্তা রয়েছে।</t>
  </si>
  <si>
    <t>নওগাঁয়ে ধর্মীয় বিদ্বেষ থেকে সংঘর্ষে ৪৪ জন নিহত হন। পুলিশ পরিস্থিতি নিয়ন্ত্রণে ব্যর্থ হয়, সরকার শান্ত থাকার নির্দেশ দেয়। অনেক পরিবার নিরাপত্তার কারণে গ্রাম ছেড়ে চলে যায়।</t>
  </si>
  <si>
    <t>সঠিক সিদ্ধান্ত। পাশাপাশি, আমাদের সকলকে একে অপরের ধর্মের প্রতি শ্রদ্ধাশীল থাকতে হবে। ইসলাম ধর্ম আমাদের শিক্ষা দিয়েছে, যেন আমরা কোনো ধর্মের প্রতি কটুক্তি না করি এবং সকলের ধর্ম পালনে সহযোগিতা করি।</t>
  </si>
  <si>
    <t>আবু সুফিয়ানের সাথে তোমাদের সম্পদ রয়েছে, তার উপর আক্রমণ চালানোর জন্য মুহাম্মাদ ও তার সঙ্গীরা এগিয়ে আসছে। তাই আমার মনে হয় না যে তোমরা তা পাবে। তাই সাহায্যের জন্য এগিয়ে চলো, এগিয়ে চলো</t>
  </si>
  <si>
    <t>সুশীলরা সরাসরি বললেই পারে,"আমরা ইসলামের বিরুদ্ধে"</t>
  </si>
  <si>
    <t>এক ব্যক্তি ধর্মীয় ঘৃণা থেকে প্রার্থনাস্থলে হামলা চালায় ও ধর্মীয় প্রতীক ভাঙচুর করে। এই ঘটনায় তিনজন আহত হয়</t>
  </si>
  <si>
    <t>ধর্ম নির্ধারণ না করে মরদেহ সমাহিত করলে কিংবা পোড়ালে স্ব-স্ব ধর্মই তো অশুদ্ধ হয়ে যাবে! এ ব্যাখ্যা তো ধর্মবিশারদ ব্যতীত কেউ দিলে তা'ও শুদ্ধ হবে না</t>
  </si>
  <si>
    <t>আর মানুষের পাপ যত বেশিই হোক, অবাধ্যতা যত বেশিই হোক, আমি আল্লাহ পাকের করুণার ব্যাপারে কখনও নিরাশ হই না।</t>
  </si>
  <si>
    <t>আমাদের সবার উচিত একাত্তর টিভি বয়কট করা। ইদানীং তারা মুসলমানদের বিরুদ্ধে উঠে পড়ে লেগেছে।</t>
  </si>
  <si>
    <t>সুনামগঞ্জে ধর্মীয় গোষ্ঠী সংখ্যালঘুদের শিক্ষা প্রতিষ্ঠান থেকে বহিষ্কার করে; ২৩ জন আত্মহত্যা করে।</t>
  </si>
  <si>
    <t>২০২০ সালের ফেব্রুয়ারিতে এক ধর্মীয় বক্তার বক্তৃতায় বিদ্বেষপূর্ণ বক্তব্যের কারণে সাম্প্রদায়িক সংঘর্ষ হয়, যা থেকে অন্তত ৩৩ জন নিহত হন এবং ব্যাপক সম্পত্তি ক্ষতি হয়।</t>
  </si>
  <si>
    <t>রাঙামাটিতে একটি বৌদ্ধ বিহারে রাখা তামার বুদ্ধমূর্তি চুরি করে পরে ভেঙে ফেলে পাশের জঙ্গলে রেখে যায় দুর্বৃত্তরা।</t>
  </si>
  <si>
    <t>কুরআনে আল্লাহ মানুষকে নিজের আত্মা এবং পরিবারের প্রতি দায়িত্বশীল হতে বলেছেন, যাতে সমাজে শান্তি এবং সাম্য বজায় থাকে।</t>
  </si>
  <si>
    <t>ক্রাইস্টচার্চ মসজিদে এক শ্বেতাঙ্গ উগ্রপন্থী বন্দুকধারী দুটি মসজিদে হামলা চালায় যা বিশ্বব্যাপী ইসলামবিদ্বেষের দৃষ্টান্ত হয়ে ওঠে।</t>
  </si>
  <si>
    <t>এই ভিডিও টা আমি ফেসবুকে সব দেখেছি । আসলে এতো বিস্তারিত ভাবে আর এত সূক্ষ্ম ভাবে আলোচনা করেছে , যাতে অন্য ধর্মের যেকোনো লোককে বিশ্বাস করতে হবে যে কোরআন আল্লাহর থেকে প্রেরিত!</t>
  </si>
  <si>
    <t>নাটোরে হিন্দু ও মুসলিম সম্প্রদায়ের মধ্যে দাঙ্গায় অন্তত ৩০ জন নিহত হন এবং ব্যাপক ভাঙচুর হয়। অনেক পরিবার স্থান ছেড়ে পালিয়ে যেতে বাধ্য হয়।</t>
  </si>
  <si>
    <t>মুসলিমদের উপর আমার এত রাগ হচ্ছে। এরকম মায়ের অবস্থা দেখে সত্যিই খুব খারাপ লাগছে। আমি যদি ওইখানে থাকতাম, আমি একাই কিছু না কিছু তো করতাম।</t>
  </si>
  <si>
    <t>তীর্থযাত্রীরা সীতাকুন্ড যাওয়ার আগে চাটগাঁয় এসে পৌঁছুলে তাদের ওপর আনসাররা আক্রমণ করে।১৪ই ফেব্রুয়ারির সন্ধেবেলার মধ্যেই চাটগাঁয় অবস্থিত সমস্ত তীর্থযাত্রীকে হত্যা করা হয়।</t>
  </si>
  <si>
    <t>বাংলাদেশে কিছু সময় ধর্মীয় বিষয় নিয়ে সত্য প্রকাশে গণমাধ্যমকে বাধা দেওয়া হয় এবং আলোকচিত্র ধারণেও নিষেধাজ্ঞা আরোপ করা হয়েছে।</t>
  </si>
  <si>
    <t>একসময় ব্রাহ্মণদের চাপে অসংখ্য বৌদ্ধ ও নিম্নবর্ণের হিন্দু ধর্মীয় নির্যাতন সহ্য করতে না পেরে ইসলাম গ্রহণে বাধ্য হয়, পরে তারা ধর্মরতরিত হয়ে স্বস্তির নিশ্বাস ফেলেছে ।</t>
  </si>
  <si>
    <t>হিন্দু ও মুসলিম অধ্যুষিত অঞ্চলে দাঙ্গা বাংলার বিভাজনের পথ তৈরি করে।</t>
  </si>
  <si>
    <t>২০২২ সালে তারা কাওয়ালী সন্ধ্যাতে হামলা চালিয়েছিলো। এবার বটতলায় কুরআন তিলাওয়াত কে কেন্দ্র করে কলা অনুষদের ডিন আরবি বিভাগের চেয়ারম্যানকে শোকজ দেয়!</t>
  </si>
  <si>
    <t>হাশরের মাঠে উঠেছে আমার বাবার সাথে আপনাকে দেখি অনেক বার। আমার গুনাহ নেই, আল্লাহ ছাড়া কোনো মাবুদ নেই, আল্লাহ ছাড়া কোনো মাবুদ নেই, আল্লাহ লা ইলাহা ইল্লাল্লাহু মোহাম্মাদুর রাসুলুল্লাহ। আসমান সৃষ্টি, জমীন সৃষ্টি করেছেন এক আল্লাহ, নেই কেউ, নেই আল্লাহর ছাড়া। লা ইলাহা ইল্লাল্লাহু মোহাম্মাদুর রাসুলুল্লাহ।</t>
  </si>
  <si>
    <t>তিনি বলেছেন, হিন্দু সম্প্রদায়ের মানুষেরা ঐ গ্রামে বহু প্রজন্ম ধরে বসবাস করছেন। এই প্রথম তারা বড় হামলার শিকার হলেন।</t>
  </si>
  <si>
    <t>ধর্মের অপব্যাখ্যায় গুজব ছড়িয়ে মন্দিরে হামলা কিংবা প্রতিমা ভাঙচুর আমাদের সমাজকে কলঙ্কিত করে। ধর্ম মানবিকতা শেখায়, কিন্তু কেউ কেউ সেটাকে ঘৃণা আর সহিংসতার অস্ত্র বানিয়ে ফেলে।</t>
  </si>
  <si>
    <t>একটি ধ্বংসাত্মক সাম্প্রদায়িক দাঙ্গা ১৯৪৬ খ্রিস্টাব্দের শেষের দিকে শুরু হয়েছিল। ৩০ অক্টোবর থেকে ৭ নভেম্বরের মধ্যে ঘটা একটি বড় আকারের গণহত্যা দেশ ভাগকে অনিবার্যকরণের দিকে নিয়ে গিয়েছিল।</t>
  </si>
  <si>
    <t>ঢাকা বিশ্ববিদ্যালয়ের জমি একজন মুসলমান দান করেছিলেন এবং তিনি প্রতিষ্ঠায় অগ্রণী ভূমিকা রেখেছিলেন।</t>
  </si>
  <si>
    <t>উল্টো তারা ধন সম্পদ জ্ঞান কুড়ায় মুসলিম অনুসারী বাড়াতে হিন্দু ধর্ম, হিন্দু জাতি ধংস করতে। পরিশেষে তাদের পরিবারের এই পরিনতিই হচ্ছে।</t>
  </si>
  <si>
    <t>যে সকল মুসলিম অসাম্প্রদায়িক এর নামে নিজেদের ইসলাম ধর্ম কে ছোট করছেন যাদের সাথে তাল মিলিয়ে চলছেন তারা কিন্তু তাদের ধর্মে ঠিকই আছে।</t>
  </si>
  <si>
    <t>জীবনে কখনো কোনো আন্দোলন তৈরি করতে পারছেন?? হিন্দু আর হিন্দুত্ববাদ এক জিনিষ নয়।</t>
  </si>
  <si>
    <t>খ্রিস্টধর্মের নামে জুলুমে রোমালিয়ার দূত রাজাকে সতর্ক করেন, এটি ঈশ্বরের বিধান ও রাজ্যের জন্য বিপদজনক। ইনকুইজিশনের ফলে ক্রুজান সাম্রাজ্য পতনের পথে যায়।</t>
  </si>
  <si>
    <t>আজকাল ধর্মের চেয়ে ধর্মীয় উপকরণের মূল্যই বেশি প্রাধান্য পাচ্ছে, যা প্রতিক্রিয়াশীলতার প্রকাশ।</t>
  </si>
  <si>
    <t>রামমোহন রায় পর্যবেক্ষণ করেছিলেন যে নারীরা যখন মৃত স্বামীর অন্ত্যেষ্টি চিতায় নিজেকে সঁপে দেওয়ার অনুমতি দেয় তখন এটি শুধুমাত্র "ধর্মীয় কুসংস্কার থেকে" নয়, বরং "বিধবাদের দৈনন্দিন অপমান ও তাচ্ছল্য পদমর্যাদার দুর্দশার সাথে জড়িত সাক্ষী থেকেও"।</t>
  </si>
  <si>
    <t>এসবিএস বাংলার কাছে পাঠানো হিন্দু কমিউনিটির প্রতিনিধিত্বকারী ২৪টি সংগঠন এক যৌথ বিবৃতিতে বলা হয়, ইসলামী চরমপন্থীরা এই উৎসব জুড়ে হিন্দুদের উপর আতঙ্ক ছড়ায়। এর মধ্যে রয়েছে হিন্দুদের হত্যা, মহিলাদের ধর্ষণ, হিন্দুদের বাড়িঘর ও ব্যবসা প্রতিষ্ঠান পুড়িয়ে দেওয়া, দেবীর মূর্তি ভাঙচুর এবং মন্দিরের অপমান করা।</t>
  </si>
  <si>
    <t>আরেক শৈব হিন্দু রাজা মিহিরকুল ১৫০০ বৌদ্ধ তীর্থস্থান সম্পূর্ণরূপে ধ্বংস করেন। শৈব রাজা তরামন কৌসম্বিতে থাকা বৌদ্ধ মঠ ঘষিতরাম ধ্বংস করেন বলে জানা যায়।</t>
  </si>
  <si>
    <t>রাজাকাররা হিন্দুদের জোর করে ইসলাম ধর্মে রূপান্তর করে গোমাংস খাইয়েছে, ইসলামের নামে বর্বর অমানুষ।</t>
  </si>
  <si>
    <t>২১ আগস্ট, রাতে বগুড়া জেলার শিবগঞ্জ উপজেলার দুটি মন্দিরে হামলার ঘটনা ঘটে। একটি লক্ষী মন্দির এবং গ্রামের শেষ প্রান্তে থাকা হরি মন্দিরে একাধিক মূর্তি ভাঙা হয়। ঘটনায় অভিযুক্ত ব্যাক্তি রবিউল ইসলামকে গ্রেপ্তার করেছে পুলিশ।</t>
  </si>
  <si>
    <t>মুহাম্মাদ সাল্লাল্লাহু আলাইহি ওয়া সাল্লাম ৩৫ বছর বয়সে কাবার মেরামতের কাজে অংশ নেন, যা ইসলামের ইতিহাসে একটি গুরুত্বপূর্ণ ও সম্মানজনক ঘটনা হিসেবে বিবেচিত হয়।</t>
  </si>
  <si>
    <t>একটি গির্জার সামনে ইসলামি লিফলেট বিতরণ করা হয়, যার ফলে উত্তেজনা সৃষ্টি হয়।</t>
  </si>
  <si>
    <t>তাদের গির্জার ঘণ্টাধ্বনি আমাদের এলাকায় শান্তি নষ্ট করে, এসব বন্ধ করা দরকার।</t>
  </si>
  <si>
    <t>যখন মন্দিরে পূজা চলছিল, তখন একদল যুবক উচ্চ শব্দে আজান বাজিয়ে দেয়, যাতে পূজার শব্দ চাপা পড়ে যায়।</t>
  </si>
  <si>
    <t>ইসলামের দাওয়াত সব ধর্মের মানুষকে দেওয়া উচিত, কারণ অন্য ধর্মগুলোর পথ বিভ্রান্তিকর।</t>
  </si>
  <si>
    <t>২০২১ সালের মার্চে একটি মন্দিরে হামলায় আগুন লাগিয়ে অন্তত ৫ জন নিহত হন এবং কয়েকজন গুরুতর আহত হন।</t>
  </si>
  <si>
    <t>গায়েবের মালিক একমাত্র আল্লাহ। নবী (সাঃ) কে জন্মের পরপরই আল্লাহর হুকুমে জিবরাইল (আঃ) আল্লাহর সমস্ত সৃষ্টি ঘুরে ঘুরে দেখান। এজন্য নবী (সাঃ) সবকিছুর খবর জানেন।</t>
  </si>
  <si>
    <t>প্রতিমা এবং মন্দিরের প্রাচীরের পিছনের অংশ সম্পূর্ণরূপে উড়ে গিয়েছিল। পরবর্তীতে, মন্দির এবং আশ্রম ধ্বংস করা হয়। জল্লাদরা যখন মন্দির ও আশ্রমে প্রবেশ করে তখন অনেকে ঘুমিয়ে ছিল এবং কেউ কেউ জেগে ছিল।</t>
  </si>
  <si>
    <t>অমানবিক আচরনকারী অমুসলিমরা কখনোই ভালো পথে থাকতে পারে না, ওদের আদর নয়, শাস্তিই প্রাপ্য।</t>
  </si>
  <si>
    <t>ধর্ম মানুষের মধ্যে ভালোবাসা ও সহনশীলতা শেখায়, কিন্তু সরকার ও রাজনীতি অনেক সময় সাম্প্রদায়িকতা উস্কে দিয়ে ক্ষমতা টিকিয়ে রাখে, আর একসঙ্গে ধর্মনিরপেক্ষতার কথা বলে।</t>
  </si>
  <si>
    <t>ইসলামে কুরআন ও হাদীস অনুযায়ী বিধিবহির্ভূত হত্যাকে হারাম ঘোষণা করা হয়েছে।</t>
  </si>
  <si>
    <t>আমার খুব খারাপ লাগে জখন দেখি কখোনও মসজিদের টাইস এ মুর্তি ছবি আবার কখোনও কুরানের পথম কাবারে মুর্তি ছবি আবারো দেখা জায় জে মুর্তির পায়ে কুরান এটা খুব দুঃখজনক</t>
  </si>
  <si>
    <t>আমরা কিন্তু বলছি, যারা বয়স্ক, যাদের নিয়ে শংকা আছে, বা বিদেশ থেকে যারা এসেছেন, তারা সীমিতভাবে মানে নামাজে ভিড় করাটা আমরা নিষেধ করেছি। আমরা মসজিদের ইমাম এবং খতিবদের মাধ্যমে এ ব্যাপারে সচেতনতা তৈরির চেষ্টা করছি।</t>
  </si>
  <si>
    <t>বিজয়ের আনন্দে অসুরের নৃত্য নাচার প্রস্তুতিও রাখুন; নাচ শেষ হতে না হতে স্টেজ ভেঙে পড়তে পারে।</t>
  </si>
  <si>
    <t>স্বধর্মের নামে ভিন্ন জাতির প্রতি পক্ষপাত আর নিজ ধর্মভ্রাতা বাঙালির প্রতি দূরত্ব রাখা ইসলামের শিক্ষার পরিপন্থী এবং এতে সাম্প্রদায়িক বিভাজনই বাড়ে শান্তি নয়।</t>
  </si>
  <si>
    <t>হিন্দু বিধবাকে উত্তরাধিকার থেকে বঞ্চিত করতে পরিকল্পিতভাবে স্বামীর মৃত্যুর পর তাকে আত্মহত্যায় বাধ্য করা হতো বা পুড়িয়ে মারা হতো যা ধর্মীয় রীতির নামে চরম বর্বরতা ও নিপীড়নের নজির।</t>
  </si>
  <si>
    <t>ধর্মযুদ্ধে শহিদ যীশুর নামে ক্রুশ ধারণ করো এবং সতীত্ব প্রমাণে অগ্নিকুণ্ডে ঝাঁপ দাও।</t>
  </si>
  <si>
    <t>এরপর যখন সবার রক্তরঙ লাল হয় তখন বিভেদ আর হানাহানি সাম্প্রদায়িক দাঙ্গা কিসের জন্য হয় ? শুধুই কি নিজেই বেচে থাকতে নাকি অন্যকিছু !</t>
  </si>
  <si>
    <t>আল কায়েদার হুমকির কারণে সরকারকে জনগণের সেন্টিমেন্ট গুরুত্ব দিতে হবে যেন দেশ উগ্রবাদের শিকার না হয়।</t>
  </si>
  <si>
    <t>যারাই কোরআন অবমাননায় অংশ নিয়েছে বা নেবে তাদের প্রত্যেকের জন্য রয়েছে দুনিয়া ও আখিরাতে চরম দুর্ভোগ ও ভয়াবহ শাস্তি।</t>
  </si>
  <si>
    <t>বরিশালে একটি পুরনো মন্দিরের দরজা ভেঙে প্রতিমা ভাঙচুর করে একদল দুর্বৃত্ত।</t>
  </si>
  <si>
    <t>খ্রিস্টানদের গির্জার ঘণ্টা বাজানো আসলে শয়তানের ডাকে সাড়া দেওয়া।</t>
  </si>
  <si>
    <t>২০২০ সালের নভেম্বরে রাজশাহীতে মসজিদে আত্মঘাতী বোমা হামলায় ৩৮ জন নিহত হয় এবং শতাধিক আহত হয়।</t>
  </si>
  <si>
    <t>বৌদ্ধদের পূজা একটা অন্ধবিশ্বাস, এসব বন্ধ হওয়া উচিত।</t>
  </si>
  <si>
    <t>সিলেটে একটি গির্জার গেট ভেঙে দেয়ালে কালো রঙে ধর্মবিরোধী স্লোগান লেখে দুর্বৃত্তরা।</t>
  </si>
  <si>
    <t>খুলনায় ধর্মীয় অনুষ্ঠানে গুলি চালিয়ে ৭ জনকে হত্যা করে একদল মুখোশধারী ব্যক্তি।</t>
  </si>
  <si>
    <t>নোয়াখালীতে গীতা পাঠ চলাকালে পূজামণ্ডপে ঢুকে সাউন্ড সিস্টেম ও প্রতিমা ভাঙে কিছু যুবক।</t>
  </si>
  <si>
    <t>মুসলিম ছাড়া অন্য ধর্মের উৎসব উদযাপন করা পাপ, যারা করে তারা ধর্মদ্রোহী।</t>
  </si>
  <si>
    <t>সুনামগঞ্জে খ্রিস্টান উপাসনালয়ে আগুন দিয়ে চারজনকে পুড়িয়ে হত্যা করা হয়।</t>
  </si>
  <si>
    <t>রাজশাহীতে হিন্দু বাড়িতে আগুন না লাগিয়ে শুধু মন্দিরের চূড়া ও প্রতিমা ভেঙে চলে যায় দুর্বৃত্তরা।</t>
  </si>
  <si>
    <t>ভগবানের নামে নাটক বানিয়ে হিন্দুরা ইসলামকে অপমান করে চলেছে।</t>
  </si>
  <si>
    <t>বান্দরবানে একটি বৌদ্ধ বিহারে হামলা করে ২ জন ভিক্ষুকে হত্যা এবং বিহার পুড়িয়ে ফেলা হয়।</t>
  </si>
  <si>
    <t>টাঙ্গাইলে একদল লোক বৌদ্ধ বিহারে ঢুকে বুদ্ধমূর্তির মাথা ভেঙে ফেলে।</t>
  </si>
  <si>
    <t>যারা গির্জায় যায়, তারা প্রকৃতপক্ষে কাফের — তাদের সাথে বন্ধুত্ব হারাম।</t>
  </si>
  <si>
    <t>চট্টগ্রামে মসজিদের সামনে ছিঁড়ে ফেলা কোরআনের পাতা ছড়িয়ে দিয়ে উত্তেজনা সৃষ্টি করা হয়।</t>
  </si>
  <si>
    <t>ময়মনসিংহে ধর্মীয় মিছিলের সময় সংঘর্ষে ৩ জন নিহত এবং বহু আহত হন।</t>
  </si>
  <si>
    <t>এই দেশে হিন্দুদের ঠাঁই নেই, তারা আমাদের সংস্কৃতি নষ্ট করছে।</t>
  </si>
  <si>
    <t>কুমিল্লায় খ্রিস্টান পরিবারের বাড়িতে পাথর ছুঁড়ে জানালার কাচ ভাঙে স্থানীয় সন্ত্রাসীরা।</t>
  </si>
  <si>
    <t>লালমনিরহাটে গুজবের ভিত্তিতে ধর্ম অবমাননার অভিযোগ তুলে এক হিন্দু যুবককে পিটিয়ে হত্যা করা হয়।</t>
  </si>
  <si>
    <t>২০২২ সালের ডিসেম্বর মাসে গাইবান্ধার ফুলছড়িতে একদল সশস্ত্র উগ্রপন্থী হিন্দু মন্দিরে হামলা চালায়, আগুন ধরিয়ে দেয়, এবং পালিয়ে যাওয়ার সময় চারজন ভক্তকে কুপিয়ে হত্যা করে।</t>
  </si>
  <si>
    <t>রাঙামাটিতে ২০২৩ সালের মার্চে একটি বৌদ্ধ বিহারের সামনে পাথর ছুঁড়ে জানালার কাঁচ ভেঙে ফেলে স্থানীয় কিছু যুবক, যারা পূর্বে ধর্মীয় বৈষম্যের অভিযোগে যুক্ত ছিল।</t>
  </si>
  <si>
    <t>“যারা দুর্গাপূজা করে, তারা প্রকৃত মুশরিক; মুসলিমদের উচিত এসব অশুচি অনুষ্ঠানের প্রতিবাদ করা” — এই পোস্টটি ফেসবুকে হাজার হাজার বার শেয়ার হয়।</t>
  </si>
  <si>
    <t>পঞ্চগড়ে ২০২১ সালের আগস্টে এক খ্রিস্টান পরিবারের ওপর হামলার সময় ঘরবাড়ি পুড়িয়ে ফেলা হয় এবং তিনজন সদস্যকে পিটিয়ে হত্যা করা হয়।</t>
  </si>
  <si>
    <t>২০২৪ সালের জানুয়ারিতে নাটোরে একটি পুরনো গির্জায় রাতের আঁধারে ঢুকে বেঞ্চ, কোরাস বই ও প্রার্থনাস্থল ভাঙচুর করে যায় দুর্বৃত্তরা।</t>
  </si>
  <si>
    <t>“বৌদ্ধরা সবসময় আমাদের বিরুদ্ধে ষড়যন্ত্র করে, ওদের বাণিজ্য বন্ধ করতে হবে” — এক ইউটিউব ভিডিও থেকে ভাইরাল হওয়া মন্তব্যে ধর্মীয় উত্তেজনা ছড়ায়।</t>
  </si>
  <si>
    <t>সিলেটের ওসমানীনগরে ২০২২ সালের জুলাইয়ে একটি জুমার নামাজ চলাকালে ককটেল বিস্ফোরণে ৬ জন নিহত হয়, যার মধ্যে দুজন শিশু ছিল।</t>
  </si>
  <si>
    <t>২০২৩ সালের অক্টোবর মাসে খুলনার দিঘলিয়া এলাকায় দুর্গাপূজা শেষে প্রতিমা বিসর্জনের প্রস্তুতিকালে প্রতিমায় রঙ ছিটিয়ে বিকৃতি ঘটানো হয়।</t>
  </si>
  <si>
    <t>“ইসলাম ছাড়া অন্য সব ধর্ম মিথ্যা, যারা এগুলো মানে তারা দোজখে যাবে” — এক কিশোরের এমন মন্তব্য টিকটকে ছড়িয়ে ধর্মীয় বিদ্বেষ সৃষ্টি করে।</t>
  </si>
  <si>
    <t>২০২২ সালের জুনে ব্রাহ্মণবাড়িয়ার আশুগঞ্জে রাতের বেলা একটি মন্দিরের গেট ভেঙে ঢুকে মহাদেবের মূর্তি গুঁড়িয়ে দেয় একদল যুবক।</t>
  </si>
  <si>
    <t>দিনাজপুরে ২০২০ সালের নভেম্বরে এক বৌদ্ধ বিহারে হামলার সময় বোমা বিস্ফোরণে দুইজন বৌদ্ধ ভিক্ষু নিহত হন এবং আরও পাঁচজন গুরুতর আহত হন।</t>
  </si>
  <si>
    <t>“খ্রিস্টানদের স্কুলে পড়ানো মানেই সন্তানদের ধর্মচ্যুতি ঘটানো” — এইরকম ধর্মভিত্তিক প্রচারণা সামাজিক মাধ্যমে ছড়িয়ে পড়ে।</t>
  </si>
  <si>
    <t>২০২৪ সালের ফেব্রুয়ারিতে টাঙ্গাইলের ঘাটাইলে একটি খ্রিস্টান গির্জার সাইনবোর্ড ভেঙে ফেলে এবং গেটের ওপর গালিগালাজ লেখা পোস্টার ঝুলিয়ে যায় দুর্বৃত্তরা।</t>
  </si>
  <si>
    <t>২০২১ সালের মে মাসে নেত্রকোনায় ধর্মীয় উপাসনালয়ে ঢুকে গুলি চালিয়ে পাঁচজনকে হত্যা করে এক উগ্রপন্থী যুবক, পরে সে পালিয়ে যায়।</t>
  </si>
  <si>
    <t>“হিন্দুরা আমাদের রাষ্ট্রকে নষ্ট করছে, ওদের বয়কট করো” — এমন আহ্বান করে একটি সামাজিক আন্দোলনের ফেসবুক পেজ থেকে পোস্ট দেয়া হয়।</t>
  </si>
  <si>
    <t>লালমনিরহাটে ২০২৩ সালের সেপ্টেম্বরে একটি মসজিদের দেয়ালে অশ্লীল ধর্মবিরোধী চিত্র আঁকা হয়, যা স্থানীয়দের মধ্যে চরম উত্তেজনা সৃষ্টি করে।</t>
  </si>
  <si>
    <t>২০২৪ সালের জানুয়ারিতে কক্সবাজারের চকরিয়ায় ধর্মীয় অনুষ্ঠানের সময় একদল মুখোশধারী হিন্দু উপাসককে কুপিয়ে হত্যা করে এবং মন্দিরে আগুন ধরিয়ে দেয়।</t>
  </si>
  <si>
    <t>চাঁপাইনবাবগঞ্জে ২০২৩ সালের ডিসেম্বরে একদল তরুণ হিন্দু পল্লিতে ঢুকে রাধাকৃষ্ণের মূর্তি ভেঙে ফেলে এবং গালিগালাজ করে পালিয়ে যায়।</t>
  </si>
  <si>
    <t>২০২০ সালের এপ্রিলে বান্দরবানে এক খ্রিস্টান সম্প্রদায়ের প্রার্থনা সভায় হামলা করে চারজনকে গুলি করে হত্যা করা হয়, আহত হন আরও ৬ জন।</t>
  </si>
  <si>
    <t>“যে মুসলিমরা দুর্গাপূজায় অংশ নেয়, তারা ইসলাম থেকে বেরিয়ে গেছে” — এক জনপ্রিয় ধর্মীয় বক্তার এই বক্তব্য অনলাইনে ব্যাপকভাবে ছড়িয়ে পড়ে।</t>
  </si>
  <si>
    <t>২০২৩ সালের এপ্রিলে জামালপুরে একটি হিন্দু পরিবারের ঘরের পাশে নির্মিত ছোট্ট মন্দিরের ছাদ ভেঙে ফেলে দুর্বৃত্তরা, যারা পরে এলাকায় গুজব ছড়ায় যে এটি 'অবৈধ স্থাপনা'।</t>
  </si>
  <si>
    <t>“খ্রিস্টানরা বাংলাদেশে শুধু বিদেশি দাতা খুঁজে ধর্ম বদলায়”—এমন মন্তব্য করে এক ইউটিউবার ভিডিওতে পুরো সম্প্রদায়কে অপমান করে।</t>
  </si>
  <si>
    <t>২০২১ সালের ডিসেম্বরে কুষ্টিয়ায় ধর্মান্তরিত মুসলিম যুবককে পবিত্রতা নষ্ট করার অভিযোগে গৃহে আগুন দিয়ে পুড়িয়ে হত্যা করা হয়।</t>
  </si>
  <si>
    <t>ময়মনসিংহের নান্দাইলে ২০২৪ সালের জুলাই মাসে পূজার দিন মন্দিরে ঢুকে সাউন্ড সিস্টেম ও ঢাক ভাঙচুর করে কয়েকজন দুর্বৃত্ত।</t>
  </si>
  <si>
    <t>“বৌদ্ধ বিহারে গিয়ে যারা দান করে, তারা নিজের ধর্মকেই অপমান করছে”—এমন স্ট্যাটাস সামাজিক মাধ্যমে ভাইরাল হয়।</t>
  </si>
  <si>
    <t>২০২২ সালের জুনে ভোলা জেলার দৌলতখানে এক গির্জার অনুষ্ঠানে ঢুকে এক উগ্রদল গুলি চালিয়ে তিনজনকে হত্যা এবং পাঁচজনকে আহত করে।</t>
  </si>
  <si>
    <t>চট্টগ্রামের রাউজানে একটি পুরাতন গির্জার জানালা ও বেদী ভাঙচুর করে দুর্বৃত্তরা, যারা এর আগেও হুমকি দিয়ে আসছিল।</t>
  </si>
  <si>
    <t>“হিন্দুদের খাদ্য পবিত্র নয়, ওদের রান্না খেলে ঈমান নষ্ট হয়”—এমন বক্তব্য একটি মাদ্রাসার ওয়াজ মাহফিলে প্রকাশ্যে বলা হয়।</t>
  </si>
  <si>
    <t>২০২৩ সালের জানুয়ারিতে টাঙ্গাইলের দেলদুয়ারে ধর্মীয় সেমিনার চলাকালে হামলাকারীরা পেট্রোল বোমা ছুঁড়ে মন্দিরে আগুন লাগিয়ে দেয়, নিহত হন অন্তত ৬ জন।</t>
  </si>
  <si>
    <t>২০২৪ সালের ফেব্রুয়ারিতে কুড়িগ্রামে একটি ছোট খ্রিস্টান উপাসনালয়ের বাইবেল বইগুলো পুকুরে ফেলে দেয়া হয় এবং সাউন্ড বক্স ছিঁড়ে নষ্ট করা হয়।</t>
  </si>
  <si>
    <t>“জুম্মার দিন হিন্দুদের গান বাজানো ইসলামকে কটাক্ষ”—এই অভিযোগ তুলে সামাজিক মাধ্যমে হিন্দু দোকানদারদের বিরুদ্ধে প্রচারণা চালানো হয়।</t>
  </si>
  <si>
    <t>২০২২ সালের নভেম্বরে হবিগঞ্জে এক বৌদ্ধ সন্ন্যাসীকে রাস্তায় একা পেয়ে কুপিয়ে হত্যা করা হয় এবং ঘটনার পর ধর্মীয় স্লোগান দেয় হামলাকারীরা।</t>
  </si>
  <si>
    <t>বরগুনায় ২০২৩ সালের মে মাসে একটি দুর্গাপূজা মণ্ডপে গভীর রাতে ঢুকে প্রতিমার হাত-পা ভেঙে দেয় দুর্বৃত্তরা।</t>
  </si>
  <si>
    <t>“যারা গির্জায় প্রার্থনা করে, তারা মুসলিম সমাজের শত্রু”—এই ধরনের বক্তব্য সহ পোস্টার টাঙানো হয় ঢাকার এক মাদ্রাসা এলাকায়।</t>
  </si>
  <si>
    <t>ফেসবুকে ইসলাম ধর্ম নিয়ে কটূক্তি ও ঘৃণামূলক মন্তব্য করার অভিযোগে পরিতোষ সরকারকে ডিজিটাল নিরাপত্তা আইনে গ্রেপ্তার করা হয়েছে এবং আরও দুইজনের বিরুদ্ধে নতুন মামলা হয়েছে।</t>
  </si>
  <si>
    <t>রাজবাড়ীতে ২০২১ সালের মার্চে খ্রিস্টান সম্প্রদায়ের এক ধর্মীয় নেতার বাড়িতে হামলা চালিয়ে আগুন দেয়া হয়, ঘুমন্ত অবস্থায় নিহত হন তিনি ও তার স্ত্রী।</t>
  </si>
  <si>
    <t>দিনাজপুরের বীরগঞ্জে একটি বৌদ্ধ বিহারের গেটে 'এই জায়গা আমাদের, বিহার নয়'—লেখা পেইন্ট করা হয় এবং প্যান্ডেল ছিঁড়ে ফেলে দুর্বৃত্তরা।</t>
  </si>
  <si>
    <t>“ইসলামের নামে বিশ্বে শান্তি নেই, বরং হুমকি”—এমন মন্তব্য দিয়ে এক ব্লগার তার লেখায় মুসলিমদের অবমাননা করে।</t>
  </si>
  <si>
    <t>মেহেরপুরে ২০২০ সালের সেপ্টেম্বরে মন্দিরে রাতে ঘুমানো দুই পুরোহিতকে কুপিয়ে হত্যা করা হয়, পরে মন্দিরে লুটপাটও চালানো হয়।</t>
  </si>
  <si>
    <t>দেশে ইসলাম মানলে মেয়েদের ইন্টারমিডিয়েটের পর পড়া বন্ধ করা ফরজ নইলে সমাজ ধ্বংস হবে আল্লাহর আইন ভাঙলে শাস্তি হবেই নারীরা জ্ঞান না শিষ্টতা চায়।</t>
  </si>
  <si>
    <t>নারায়ণগঞ্জে গীতা পাঠ চলার সময় কিছু স্থানীয় যুবক বিদ্যুৎ সংযোগ বিচ্ছিন্ন করে দেয়, মাইক ছিঁড়ে ফেলে এবং পূজা থামিয়ে দেয়।</t>
  </si>
  <si>
    <t>“সংখ্যালঘুদের বাড়িতে গিয়ে ভোট চাইলে ধর্ম বিক্রি হয়”—এমন মন্তব্য করে এক রাজনৈতিক কর্মী সামাজিক মাধ্যমে বিতর্ক তৈরি করেন।</t>
  </si>
  <si>
    <t>লোহাগড়া উপজেলায় জামাতি ইসলাম ও বিএনপির কর্মীরা হিন্দুদের বাড়িঘরে লুটপাত করে, তাদের সম্পত্তি বিনষ্ট করে এবং কলুজান এলাকায়; হিন্দুদের বাজারে হিন্দুদের দোকানের জিনিসপত্র ভাঙচুর করে।[৬] তারা হিন্দুদের মন্দির ভাঙারও প্রয়াস চালায়।</t>
  </si>
  <si>
    <t>এক জনসভায় আবদুল জব্বার ইঞ্জিনিয়ার ধর্মীয় বিদ্বেষমূলক বক্তব্য দিলে উত্তেজিত জনতা তুষখালীর হিন্দু মহল্লা কালুপাড়া ও নাথপাড়ায় আক্রমণ চালিয়ে ঘরবাড়ি ও উপাসনালয় ভাঙচুর করে।</t>
  </si>
  <si>
    <t>যারা কুরআন অবমাননা করেছে, তারা শত্রু মুসলমানরা এসব সহ্য করবে না, প্রতিশোধ নেবেই। কারন আল কুরআনের অপমান কখনো সইতে পারেনা মুসলমান।</t>
  </si>
  <si>
    <t>২০১৭ সালের জুলাইয়ে এক গোষ্ঠী সংখ্যালঘুদের বাজারে আগুন দিয়ে ৩৬ জন নিহত হন; বহু দোকানপাট ও বাড়ি পুড়ে যায়।</t>
  </si>
  <si>
    <t>যে নাস্তিকরা ইসলাম ও পবিত্র কুরআনকে অপমান করে, তাদেরকে বাংলার মাটিতে বাঁচতে দেয়া উচিত নয় তাদের পুঁতে ফেলা উচিত।</t>
  </si>
  <si>
    <t>ইচ্ছাকৃতভাবে কোরআন মূর্তির উপর রেখে যারা ইসলাম অবমাননা করেছে তারা এদেশে থাকার অযোগ্য</t>
  </si>
  <si>
    <t>নোয়াখালী ও ত্রিপুরার প্রায় ২০০০ বর্গকিমি এলাকা ধর্মীয় দাঙ্গায় ক্ষতিগ্রস্ত হয়।</t>
  </si>
  <si>
    <t>কিছু কিছু ওয়েবসাইট আজকাল ইসলামবিদ্বেষীদের মিথ্যা ছড়ানোর অস্ত্র, যারা ইসলামী ইতিহাস বিকৃত করে মুসলমানদের বিভ্রান্ত করতে চায় এবং সত্য গোপন করে তাদের বিশ্বাস ধ্বংসে কাজ করে বাংলাদেশে।</t>
  </si>
  <si>
    <t>এভাবে মুসলিমদের গণহারে হত্যা করে সিরিয়ায় নিজের ক্ষমতা পাকাপোক্ত করে হাফেজ আল-আসাদ। গত ১১ বছর ধরে সে লাখ লাখ সুন্নি মুসলিমকে হত্যা করেছে, এবং বর্তমানেও তা অব্যাহত রয়েছে।</t>
  </si>
  <si>
    <t>নিশ্চয় ইসলাম আল্লাহর নিকট (একমাত্র মনোনীত) ধর্ম।</t>
  </si>
  <si>
    <t>এই গবেষণায় দেখা গেছে, বড় ধরণের প্রাকৃতিক বিপর্যয়ের মতো ঘটনায় নানা ধর্ম বর্ণের মানুষ একত্রে শান্তিপূর্ণভাবে মোকাবেলা করেছে।</t>
  </si>
  <si>
    <t>বাংলাদেশে মুসলিমদের ধর্মীয় অনুভূতিতে আঘাত করে পবিত্র কুরআন ও কাবা শরিফ নিয়ে কটূক্তি করা কি ধর্মীয় সন্ত্রাস ও নৈতিক অবক্ষয়ের জঘন্য উদাহরণ নয়?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</si>
</sst>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12"/>
      <color theme="1"/>
      <name val="Calibri"/>
    </font>
    <font>
      <sz val="12"/>
      <color theme="1"/>
      <name val="Arial"/>
      <scheme val="minor"/>
    </font>
    <font>
      <sz val="12"/>
      <color rgb="FF000000"/>
      <name val="Calibri"/>
    </font>
    <font>
      <sz val="12"/>
      <color rgb="FF202122"/>
      <name val="Calibri"/>
    </font>
    <font>
      <sz val="12"/>
      <color rgb="FF202122"/>
      <name val="Arial"/>
    </font>
    <font>
      <sz val="12"/>
      <color theme="1"/>
      <name val="Arial"/>
    </font>
    <font>
      <sz val="11"/>
      <color theme="1"/>
      <name val="Calibri"/>
    </font>
    <font>
      <sz val="11"/>
      <color rgb="FF000000"/>
      <name val="Calibri"/>
    </font>
    <font>
      <sz val="12"/>
      <color theme="1"/>
      <name val="Calibri"/>
      <family val="2"/>
    </font>
    <font>
      <sz val="12"/>
      <color rgb="FF000000"/>
      <name val="Calibri"/>
      <family val="2"/>
    </font>
    <font>
      <sz val="12"/>
      <color theme="1"/>
      <name val="Arial"/>
      <family val="2"/>
      <scheme val="minor"/>
    </font>
    <font>
      <sz val="12"/>
      <color rgb="FF000000"/>
      <name val="Arial"/>
      <family val="2"/>
      <scheme val="minor"/>
    </font>
    <font>
      <sz val="12"/>
      <color rgb="FF1F1F1F"/>
      <name val="Arial"/>
      <family val="2"/>
      <scheme val="minor"/>
    </font>
    <font>
      <sz val="12"/>
      <color rgb="FF333333"/>
      <name val="Arial"/>
      <family val="2"/>
      <scheme val="minor"/>
    </font>
    <font>
      <sz val="12"/>
      <color rgb="FF202122"/>
      <name val="Arial"/>
      <family val="2"/>
      <scheme val="minor"/>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34">
    <xf numFmtId="0" fontId="0" fillId="0" borderId="0" xfId="0"/>
    <xf numFmtId="0" fontId="1" fillId="0" borderId="2" xfId="0" applyFont="1" applyBorder="1" applyAlignment="1">
      <alignment horizontal="center" vertical="top"/>
    </xf>
    <xf numFmtId="0" fontId="1" fillId="0" borderId="0" xfId="0" applyFont="1"/>
    <xf numFmtId="0" fontId="2" fillId="0" borderId="0" xfId="0" applyFont="1"/>
    <xf numFmtId="0" fontId="1" fillId="0" borderId="0" xfId="0" applyFont="1" applyAlignment="1">
      <alignment horizontal="center"/>
    </xf>
    <xf numFmtId="0" fontId="3" fillId="0" borderId="0" xfId="0" applyFont="1"/>
    <xf numFmtId="0" fontId="1" fillId="0" borderId="0" xfId="0" applyFont="1" applyAlignment="1">
      <alignment horizontal="left"/>
    </xf>
    <xf numFmtId="0" fontId="3" fillId="0" borderId="0" xfId="0" applyFont="1" applyAlignment="1">
      <alignment horizontal="left"/>
    </xf>
    <xf numFmtId="0" fontId="1" fillId="2" borderId="0" xfId="0" applyFont="1" applyFill="1"/>
    <xf numFmtId="0" fontId="3" fillId="2" borderId="0" xfId="0" applyFont="1" applyFill="1"/>
    <xf numFmtId="0" fontId="2" fillId="2" borderId="0" xfId="0" applyFont="1" applyFill="1"/>
    <xf numFmtId="0" fontId="4" fillId="0" borderId="0" xfId="0" applyFont="1" applyAlignment="1">
      <alignment horizontal="left"/>
    </xf>
    <xf numFmtId="0" fontId="5" fillId="0" borderId="0" xfId="0" applyFont="1" applyAlignment="1">
      <alignment horizontal="left"/>
    </xf>
    <xf numFmtId="0" fontId="3" fillId="0" borderId="3" xfId="0" applyFont="1" applyBorder="1"/>
    <xf numFmtId="0" fontId="6" fillId="0" borderId="0" xfId="0" applyFont="1"/>
    <xf numFmtId="0" fontId="7" fillId="0" borderId="0" xfId="0" applyFont="1"/>
    <xf numFmtId="0" fontId="8" fillId="0" borderId="0" xfId="0" applyFont="1"/>
    <xf numFmtId="0" fontId="9" fillId="0" borderId="1" xfId="0" applyFont="1" applyBorder="1" applyAlignment="1">
      <alignment horizontal="center" vertical="top"/>
    </xf>
    <xf numFmtId="0" fontId="9" fillId="0" borderId="0" xfId="0" applyFont="1" applyAlignment="1">
      <alignment horizontal="center"/>
    </xf>
    <xf numFmtId="0" fontId="10" fillId="0" borderId="0" xfId="0" applyFont="1" applyAlignment="1">
      <alignment horizontal="center"/>
    </xf>
    <xf numFmtId="0" fontId="9" fillId="2" borderId="0" xfId="0" applyFont="1" applyFill="1" applyAlignment="1">
      <alignment horizontal="center"/>
    </xf>
    <xf numFmtId="0" fontId="9" fillId="3" borderId="0" xfId="0" applyFont="1" applyFill="1" applyAlignment="1">
      <alignment horizontal="center"/>
    </xf>
    <xf numFmtId="0" fontId="12" fillId="0" borderId="0" xfId="0" applyFont="1"/>
    <xf numFmtId="0" fontId="11" fillId="0" borderId="2" xfId="0" applyFont="1" applyBorder="1" applyAlignment="1">
      <alignment horizontal="center" vertical="top"/>
    </xf>
    <xf numFmtId="0" fontId="11" fillId="0" borderId="0" xfId="0" applyFont="1"/>
    <xf numFmtId="0" fontId="11" fillId="0" borderId="0" xfId="0" applyFont="1" applyAlignment="1">
      <alignment horizontal="left"/>
    </xf>
    <xf numFmtId="0" fontId="12" fillId="0" borderId="0" xfId="0" applyFont="1" applyAlignment="1">
      <alignment horizontal="left"/>
    </xf>
    <xf numFmtId="0" fontId="13" fillId="0" borderId="0" xfId="0" applyFont="1" applyAlignment="1">
      <alignment horizontal="left"/>
    </xf>
    <xf numFmtId="0" fontId="14" fillId="0" borderId="0" xfId="0" applyFont="1" applyAlignment="1">
      <alignment horizontal="left"/>
    </xf>
    <xf numFmtId="0" fontId="11" fillId="2" borderId="0" xfId="0" applyFont="1" applyFill="1" applyAlignment="1">
      <alignment horizontal="left"/>
    </xf>
    <xf numFmtId="0" fontId="15" fillId="0" borderId="0" xfId="0" applyFont="1" applyAlignment="1">
      <alignment horizontal="left"/>
    </xf>
    <xf numFmtId="0" fontId="12" fillId="0" borderId="0" xfId="0" quotePrefix="1" applyFont="1" applyAlignment="1">
      <alignment horizontal="left"/>
    </xf>
    <xf numFmtId="0" fontId="12" fillId="2" borderId="0" xfId="0" applyFont="1" applyFill="1" applyAlignment="1">
      <alignment horizontal="left"/>
    </xf>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4151"/>
  <sheetViews>
    <sheetView tabSelected="1" topLeftCell="A3946" workbookViewId="0">
      <selection activeCell="A3969" sqref="A3969"/>
    </sheetView>
  </sheetViews>
  <sheetFormatPr defaultColWidth="12.6640625" defaultRowHeight="15.75" customHeight="1" x14ac:dyDescent="0.3"/>
  <cols>
    <col min="1" max="1" width="15.44140625" style="33" customWidth="1"/>
    <col min="2" max="2" width="223.77734375" style="22" customWidth="1"/>
    <col min="3" max="3" width="160.33203125" customWidth="1"/>
  </cols>
  <sheetData>
    <row r="1" spans="1:26" ht="15.6" x14ac:dyDescent="0.3">
      <c r="A1" s="17" t="s">
        <v>0</v>
      </c>
      <c r="B1" s="23" t="s">
        <v>1</v>
      </c>
      <c r="C1" s="1" t="s">
        <v>2</v>
      </c>
      <c r="D1" s="2"/>
      <c r="E1" s="2"/>
      <c r="F1" s="2"/>
      <c r="G1" s="2"/>
      <c r="H1" s="3"/>
      <c r="I1" s="3"/>
      <c r="J1" s="3"/>
      <c r="K1" s="3"/>
      <c r="L1" s="3"/>
      <c r="M1" s="3"/>
      <c r="N1" s="3"/>
      <c r="O1" s="3"/>
      <c r="P1" s="3"/>
      <c r="Q1" s="3"/>
      <c r="R1" s="3"/>
      <c r="S1" s="3"/>
      <c r="T1" s="3"/>
      <c r="U1" s="3"/>
      <c r="V1" s="3"/>
      <c r="W1" s="3"/>
      <c r="X1" s="3"/>
      <c r="Y1" s="3"/>
      <c r="Z1" s="3"/>
    </row>
    <row r="2" spans="1:26" ht="15.6" x14ac:dyDescent="0.3">
      <c r="A2" s="18" t="s">
        <v>3</v>
      </c>
      <c r="B2" s="24" t="s">
        <v>4</v>
      </c>
      <c r="C2" s="2" t="str">
        <f ca="1">IFERROR(__xludf.DUMMYFUNCTION("GOOGLETRANSLATE(B2, ""bn"", ""en"")"),"To build a beautiful society, religious education and human values ​​need to be together.")</f>
        <v>To build a beautiful society, religious education and human values ​​need to be together.</v>
      </c>
      <c r="D2" s="5"/>
      <c r="E2" s="5"/>
      <c r="F2" s="5"/>
      <c r="G2" s="5"/>
      <c r="H2" s="5"/>
      <c r="I2" s="5"/>
      <c r="J2" s="5"/>
      <c r="K2" s="5"/>
      <c r="L2" s="5"/>
      <c r="M2" s="5"/>
      <c r="N2" s="5"/>
      <c r="O2" s="5"/>
      <c r="P2" s="5"/>
      <c r="Q2" s="5"/>
      <c r="R2" s="5"/>
      <c r="S2" s="5"/>
      <c r="T2" s="5"/>
      <c r="U2" s="5"/>
      <c r="V2" s="5"/>
      <c r="W2" s="5"/>
      <c r="X2" s="5"/>
      <c r="Y2" s="5"/>
      <c r="Z2" s="5"/>
    </row>
    <row r="3" spans="1:26" ht="15.6" x14ac:dyDescent="0.3">
      <c r="A3" s="18" t="s">
        <v>5</v>
      </c>
      <c r="B3" s="24" t="s">
        <v>6</v>
      </c>
      <c r="C3" s="2" t="str">
        <f ca="1">IFERROR(__xludf.DUMMYFUNCTION("GOOGLETRANSLATE(B3, ""bn"", ""en"")"),"In April 2020, a religious group killed children and the elderly and dumped the bodies in a river, killing 34 people.")</f>
        <v>In April 2020, a religious group killed children and the elderly and dumped the bodies in a river, killing 34 people.</v>
      </c>
      <c r="D3" s="5"/>
      <c r="E3" s="5"/>
      <c r="F3" s="5"/>
      <c r="G3" s="5"/>
      <c r="H3" s="5"/>
      <c r="I3" s="5"/>
      <c r="J3" s="5"/>
      <c r="K3" s="5"/>
      <c r="L3" s="5"/>
      <c r="M3" s="5"/>
      <c r="N3" s="5"/>
      <c r="O3" s="5"/>
      <c r="P3" s="5"/>
      <c r="Q3" s="5"/>
      <c r="R3" s="5"/>
      <c r="S3" s="5"/>
      <c r="T3" s="5"/>
      <c r="U3" s="5"/>
      <c r="V3" s="5"/>
      <c r="W3" s="5"/>
      <c r="X3" s="5"/>
      <c r="Y3" s="5"/>
      <c r="Z3" s="5"/>
    </row>
    <row r="4" spans="1:26" ht="15.6" x14ac:dyDescent="0.3">
      <c r="A4" s="18" t="s">
        <v>3</v>
      </c>
      <c r="B4" s="25" t="s">
        <v>7</v>
      </c>
      <c r="C4" s="2" t="str">
        <f ca="1">IFERROR(__xludf.DUMMYFUNCTION("GOOGLETRANSLATE(B4, ""bn"", ""en"")"),"I want to get lost in paradise. O Allah, I want to be a bird of paradise and roam around the whole paradise. Guide me for that")</f>
        <v>I want to get lost in paradise. O Allah, I want to be a bird of paradise and roam around the whole paradise. Guide me for that</v>
      </c>
      <c r="D4" s="2"/>
      <c r="E4" s="2"/>
      <c r="F4" s="2"/>
      <c r="G4" s="2"/>
      <c r="H4" s="3"/>
      <c r="I4" s="3"/>
      <c r="J4" s="3"/>
      <c r="K4" s="3"/>
      <c r="L4" s="3"/>
      <c r="M4" s="3"/>
      <c r="N4" s="3"/>
      <c r="O4" s="3"/>
      <c r="P4" s="3"/>
      <c r="Q4" s="3"/>
      <c r="R4" s="3"/>
      <c r="S4" s="3"/>
      <c r="T4" s="3"/>
      <c r="U4" s="3"/>
      <c r="V4" s="3"/>
      <c r="W4" s="3"/>
      <c r="X4" s="3"/>
      <c r="Y4" s="3"/>
      <c r="Z4" s="3"/>
    </row>
    <row r="5" spans="1:26" ht="15.6" x14ac:dyDescent="0.3">
      <c r="A5" s="19" t="s">
        <v>8</v>
      </c>
      <c r="B5" s="26" t="s">
        <v>9</v>
      </c>
      <c r="C5" s="2" t="str">
        <f ca="1">IFERROR(__xludf.DUMMYFUNCTION("GOOGLETRANSLATE(B5, ""bn"", ""en"")"),"Miscreants attacked and vandalized Baytus Sujut Mosque in Bardhanpara, Nawabganj, Dhaka. Locals blamed one person but he denied the allegations.")</f>
        <v>Miscreants attacked and vandalized Baytus Sujut Mosque in Bardhanpara, Nawabganj, Dhaka. Locals blamed one person but he denied the allegations.</v>
      </c>
      <c r="D5" s="7"/>
      <c r="E5" s="7"/>
      <c r="F5" s="7"/>
      <c r="G5" s="7"/>
      <c r="H5" s="7"/>
      <c r="I5" s="7"/>
      <c r="J5" s="7"/>
      <c r="K5" s="7"/>
      <c r="L5" s="7"/>
      <c r="M5" s="5"/>
      <c r="N5" s="5"/>
      <c r="O5" s="5"/>
      <c r="P5" s="5"/>
      <c r="Q5" s="5"/>
      <c r="R5" s="5"/>
      <c r="S5" s="5"/>
      <c r="T5" s="5"/>
      <c r="U5" s="5"/>
      <c r="V5" s="5"/>
      <c r="W5" s="5"/>
      <c r="X5" s="5"/>
      <c r="Y5" s="5"/>
      <c r="Z5" s="5"/>
    </row>
    <row r="6" spans="1:26" ht="15.6" x14ac:dyDescent="0.3">
      <c r="A6" s="18" t="s">
        <v>8</v>
      </c>
      <c r="B6" s="24" t="s">
        <v>10</v>
      </c>
      <c r="C6" s="2" t="str">
        <f ca="1">IFERROR(__xludf.DUMMYFUNCTION("GOOGLETRANSLATE(B6, ""bn"", ""en"")"),"2 November 2022 In Madarganj, Jamalpur, Durga idol was painted with black paint and its legs were cut off by miscreants.")</f>
        <v>2 November 2022 In Madarganj, Jamalpur, Durga idol was painted with black paint and its legs were cut off by miscreants.</v>
      </c>
      <c r="D6" s="5"/>
      <c r="E6" s="5"/>
      <c r="F6" s="5"/>
      <c r="G6" s="5"/>
      <c r="H6" s="5"/>
      <c r="I6" s="5"/>
      <c r="J6" s="5"/>
      <c r="K6" s="5"/>
      <c r="L6" s="5"/>
      <c r="M6" s="5"/>
      <c r="N6" s="5"/>
      <c r="O6" s="5"/>
      <c r="P6" s="5"/>
      <c r="Q6" s="5"/>
      <c r="R6" s="5"/>
      <c r="S6" s="5"/>
      <c r="T6" s="5"/>
      <c r="U6" s="5"/>
      <c r="V6" s="5"/>
      <c r="W6" s="5"/>
      <c r="X6" s="5"/>
      <c r="Y6" s="5"/>
      <c r="Z6" s="5"/>
    </row>
    <row r="7" spans="1:26" ht="15.6" x14ac:dyDescent="0.3">
      <c r="A7" s="18" t="s">
        <v>5</v>
      </c>
      <c r="B7" s="24" t="s">
        <v>11</v>
      </c>
      <c r="C7" s="2" t="str">
        <f ca="1">IFERROR(__xludf.DUMMYFUNCTION("GOOGLETRANSLATE(B7, ""bn"", ""en"")"),"Clashes broke out between Hindu-Muslim communities over a property issue in Sylhet. During the clash, firing was exchanged from both sides and at least 40 people were killed. Many houses and temples were burnt. The government took strict security measures"&amp;" to calm the situation.")</f>
        <v>Clashes broke out between Hindu-Muslim communities over a property issue in Sylhet. During the clash, firing was exchanged from both sides and at least 40 people were killed. Many houses and temples were burnt. The government took strict security measures to calm the situation.</v>
      </c>
      <c r="D7" s="5"/>
      <c r="E7" s="5"/>
      <c r="F7" s="5"/>
      <c r="G7" s="5"/>
      <c r="H7" s="5"/>
      <c r="I7" s="5"/>
      <c r="J7" s="5"/>
      <c r="K7" s="5"/>
      <c r="L7" s="5"/>
      <c r="M7" s="5"/>
      <c r="N7" s="5"/>
      <c r="O7" s="5"/>
      <c r="P7" s="5"/>
      <c r="Q7" s="5"/>
      <c r="R7" s="5"/>
      <c r="S7" s="5"/>
      <c r="T7" s="5"/>
      <c r="U7" s="5"/>
      <c r="V7" s="5"/>
      <c r="W7" s="5"/>
      <c r="X7" s="5"/>
      <c r="Y7" s="5"/>
      <c r="Z7" s="5"/>
    </row>
    <row r="8" spans="1:26" ht="15.6" x14ac:dyDescent="0.3">
      <c r="A8" s="18" t="s">
        <v>8</v>
      </c>
      <c r="B8" s="24" t="s">
        <v>12</v>
      </c>
      <c r="C8" s="2" t="str">
        <f ca="1">IFERROR(__xludf.DUMMYFUNCTION("GOOGLETRANSLATE(B8, ""bn"", ""en"")"),"On 22 December 2024 miscreants attacked a Buddhist monastery in Teknaf, Cox's Bazar and broke the head and hands of the Buddha statue.")</f>
        <v>On 22 December 2024 miscreants attacked a Buddhist monastery in Teknaf, Cox's Bazar and broke the head and hands of the Buddha statue.</v>
      </c>
      <c r="D8" s="5"/>
      <c r="E8" s="5"/>
      <c r="F8" s="5"/>
      <c r="G8" s="5"/>
      <c r="H8" s="5"/>
      <c r="I8" s="5"/>
      <c r="J8" s="5"/>
      <c r="K8" s="5"/>
      <c r="L8" s="5"/>
      <c r="M8" s="5"/>
      <c r="N8" s="5"/>
      <c r="O8" s="5"/>
      <c r="P8" s="5"/>
      <c r="Q8" s="5"/>
      <c r="R8" s="5"/>
      <c r="S8" s="5"/>
      <c r="T8" s="5"/>
      <c r="U8" s="5"/>
      <c r="V8" s="5"/>
      <c r="W8" s="5"/>
      <c r="X8" s="5"/>
      <c r="Y8" s="5"/>
      <c r="Z8" s="5"/>
    </row>
    <row r="9" spans="1:26" ht="15.6" x14ac:dyDescent="0.3">
      <c r="A9" s="18" t="s">
        <v>5</v>
      </c>
      <c r="B9" s="24" t="s">
        <v>13</v>
      </c>
      <c r="C9" s="2" t="str">
        <f ca="1">IFERROR(__xludf.DUMMYFUNCTION("GOOGLETRANSLATE(B9, ""bn"", ""en"")"),"44 people were killed in clashes due to religious tension in Narsingdi. Although the police failed to control the situation, the government ordered everyone to remain calm and behave responsibly. Many minority families seek shelter for safety.")</f>
        <v>44 people were killed in clashes due to religious tension in Narsingdi. Although the police failed to control the situation, the government ordered everyone to remain calm and behave responsibly. Many minority families seek shelter for safety.</v>
      </c>
      <c r="D9" s="5"/>
      <c r="E9" s="5"/>
      <c r="F9" s="5"/>
      <c r="G9" s="5"/>
      <c r="H9" s="5"/>
      <c r="I9" s="5"/>
      <c r="J9" s="5"/>
      <c r="K9" s="5"/>
      <c r="L9" s="5"/>
      <c r="M9" s="5"/>
      <c r="N9" s="5"/>
      <c r="O9" s="5"/>
      <c r="P9" s="5"/>
      <c r="Q9" s="5"/>
      <c r="R9" s="5"/>
      <c r="S9" s="5"/>
      <c r="T9" s="5"/>
      <c r="U9" s="5"/>
      <c r="V9" s="5"/>
      <c r="W9" s="5"/>
      <c r="X9" s="5"/>
      <c r="Y9" s="5"/>
      <c r="Z9" s="5"/>
    </row>
    <row r="10" spans="1:26" ht="15.6" x14ac:dyDescent="0.3">
      <c r="A10" s="18" t="s">
        <v>8</v>
      </c>
      <c r="B10" s="24" t="s">
        <v>14</v>
      </c>
      <c r="C10" s="2" t="str">
        <f ca="1">IFERROR(__xludf.DUMMYFUNCTION("GOOGLETRANSLATE(B10, ""bn"", ""en"")"),"On January 27, 2025, the stone idol of an old Mansa temple at Katiadi in Kishoreganj was broken and thrown into the nearby paddy fields.")</f>
        <v>On January 27, 2025, the stone idol of an old Mansa temple at Katiadi in Kishoreganj was broken and thrown into the nearby paddy fields.</v>
      </c>
      <c r="D10" s="5"/>
      <c r="E10" s="5"/>
      <c r="F10" s="5"/>
      <c r="G10" s="5"/>
      <c r="H10" s="5"/>
      <c r="I10" s="5"/>
      <c r="J10" s="5"/>
      <c r="K10" s="5"/>
      <c r="L10" s="5"/>
      <c r="M10" s="5"/>
      <c r="N10" s="5"/>
      <c r="O10" s="5"/>
      <c r="P10" s="5"/>
      <c r="Q10" s="5"/>
      <c r="R10" s="5"/>
      <c r="S10" s="5"/>
      <c r="T10" s="5"/>
      <c r="U10" s="5"/>
      <c r="V10" s="5"/>
      <c r="W10" s="5"/>
      <c r="X10" s="5"/>
      <c r="Y10" s="5"/>
      <c r="Z10" s="5"/>
    </row>
    <row r="11" spans="1:26" ht="15.6" x14ac:dyDescent="0.3">
      <c r="A11" s="18" t="s">
        <v>5</v>
      </c>
      <c r="B11" s="25" t="s">
        <v>15</v>
      </c>
      <c r="C11" s="2" t="str">
        <f ca="1">IFERROR(__xludf.DUMMYFUNCTION("GOOGLETRANSLATE(B11, ""bn"", ""en"")"),"He thinks that Hindu women were raped and converted several times more than the number of Hindus who were killed in the Noakhali massacre.")</f>
        <v>He thinks that Hindu women were raped and converted several times more than the number of Hindus who were killed in the Noakhali massacre.</v>
      </c>
      <c r="D11" s="5"/>
      <c r="E11" s="5"/>
      <c r="F11" s="5"/>
      <c r="G11" s="5"/>
      <c r="H11" s="5"/>
      <c r="I11" s="5"/>
      <c r="J11" s="5"/>
      <c r="K11" s="5"/>
      <c r="L11" s="5"/>
      <c r="M11" s="5"/>
      <c r="N11" s="5"/>
      <c r="O11" s="5"/>
      <c r="P11" s="5"/>
      <c r="Q11" s="5"/>
      <c r="R11" s="5"/>
      <c r="S11" s="5"/>
      <c r="T11" s="5"/>
      <c r="U11" s="5"/>
      <c r="V11" s="5"/>
      <c r="W11" s="5"/>
      <c r="X11" s="5"/>
      <c r="Y11" s="5"/>
      <c r="Z11" s="5"/>
    </row>
    <row r="12" spans="1:26" ht="15.6" x14ac:dyDescent="0.3">
      <c r="A12" s="18" t="s">
        <v>5</v>
      </c>
      <c r="B12" s="25" t="s">
        <v>16</v>
      </c>
      <c r="C12" s="2" t="str">
        <f ca="1">IFERROR(__xludf.DUMMYFUNCTION("GOOGLETRANSLATE(B12, ""bn"", ""en"")"),"Militants massacred the Hindu community, killing thousands and enslaving many women.")</f>
        <v>Militants massacred the Hindu community, killing thousands and enslaving many women.</v>
      </c>
      <c r="D12" s="5"/>
      <c r="E12" s="5"/>
      <c r="F12" s="5"/>
      <c r="G12" s="5"/>
      <c r="H12" s="5"/>
      <c r="I12" s="5"/>
      <c r="J12" s="5"/>
      <c r="K12" s="5"/>
      <c r="L12" s="5"/>
      <c r="M12" s="5"/>
      <c r="N12" s="5"/>
      <c r="O12" s="5"/>
      <c r="P12" s="5"/>
      <c r="Q12" s="5"/>
      <c r="R12" s="5"/>
      <c r="S12" s="5"/>
      <c r="T12" s="5"/>
      <c r="U12" s="5"/>
      <c r="V12" s="5"/>
      <c r="W12" s="5"/>
      <c r="X12" s="5"/>
      <c r="Y12" s="5"/>
      <c r="Z12" s="5"/>
    </row>
    <row r="13" spans="1:26" ht="15.6" x14ac:dyDescent="0.3">
      <c r="A13" s="19" t="s">
        <v>3</v>
      </c>
      <c r="B13" s="26" t="s">
        <v>17</v>
      </c>
      <c r="C13" s="2" t="str">
        <f ca="1">IFERROR(__xludf.DUMMYFUNCTION("GOOGLETRANSLATE(B13, ""bn"", ""en"")"),"I didn't think about Islam for many years, but suddenly a light flashed in my mind and I started trying to learn and read more about Islam.")</f>
        <v>I didn't think about Islam for many years, but suddenly a light flashed in my mind and I started trying to learn and read more about Islam.</v>
      </c>
      <c r="D13" s="7"/>
      <c r="E13" s="7"/>
      <c r="F13" s="7"/>
      <c r="G13" s="7"/>
      <c r="H13" s="7"/>
      <c r="I13" s="7"/>
      <c r="J13" s="7"/>
      <c r="K13" s="5"/>
      <c r="L13" s="5"/>
      <c r="M13" s="5"/>
      <c r="N13" s="5"/>
      <c r="O13" s="5"/>
      <c r="P13" s="5"/>
      <c r="Q13" s="5"/>
      <c r="R13" s="5"/>
      <c r="S13" s="5"/>
      <c r="T13" s="5"/>
      <c r="U13" s="5"/>
      <c r="V13" s="5"/>
      <c r="W13" s="5"/>
      <c r="X13" s="5"/>
      <c r="Y13" s="5"/>
      <c r="Z13" s="5"/>
    </row>
    <row r="14" spans="1:26" ht="15.6" x14ac:dyDescent="0.3">
      <c r="A14" s="19" t="s">
        <v>3</v>
      </c>
      <c r="B14" s="26" t="s">
        <v>18</v>
      </c>
      <c r="C14" s="2" t="str">
        <f ca="1">IFERROR(__xludf.DUMMYFUNCTION("GOOGLETRANSLATE(B14, ""bn"", ""en"")"),"Shabbat is also called the night of forgiveness or the day of atonement. Muslims observe mid-Sha'ban as a night of worship and liberation. Scholars such as Imam Shafi'i, Imam Nawabi, Imam Ghazali and Imam Suyuti have declared that prayers during the night"&amp;" of mid-Sha'ban are acceptable.")</f>
        <v>Shabbat is also called the night of forgiveness or the day of atonement. Muslims observe mid-Sha'ban as a night of worship and liberation. Scholars such as Imam Shafi'i, Imam Nawabi, Imam Ghazali and Imam Suyuti have declared that prayers during the night of mid-Sha'ban are acceptable.</v>
      </c>
      <c r="D14" s="7"/>
      <c r="E14" s="7"/>
      <c r="F14" s="5"/>
      <c r="G14" s="5"/>
      <c r="H14" s="5"/>
      <c r="I14" s="5"/>
      <c r="J14" s="5"/>
      <c r="K14" s="5"/>
      <c r="L14" s="5"/>
      <c r="M14" s="5"/>
      <c r="N14" s="5"/>
      <c r="O14" s="5"/>
      <c r="P14" s="5"/>
      <c r="Q14" s="5"/>
      <c r="R14" s="5"/>
      <c r="S14" s="5"/>
      <c r="T14" s="5"/>
      <c r="U14" s="5"/>
      <c r="V14" s="5"/>
      <c r="W14" s="5"/>
      <c r="X14" s="5"/>
      <c r="Y14" s="5"/>
      <c r="Z14" s="5"/>
    </row>
    <row r="15" spans="1:26" ht="15.6" x14ac:dyDescent="0.3">
      <c r="A15" s="18" t="s">
        <v>5</v>
      </c>
      <c r="B15" s="25" t="s">
        <v>19</v>
      </c>
      <c r="C15" s="2" t="str">
        <f ca="1">IFERROR(__xludf.DUMMYFUNCTION("GOOGLETRANSLATE(B15, ""bn"", ""en"")"),"Houses of 200 Hindu families were vandalized in Kalia. 3 Awami League workers were hacked and injured in Patharghata")</f>
        <v>Houses of 200 Hindu families were vandalized in Kalia. 3 Awami League workers were hacked and injured in Patharghata</v>
      </c>
      <c r="D15" s="6"/>
      <c r="E15" s="6"/>
      <c r="F15" s="6"/>
      <c r="G15" s="6"/>
      <c r="H15" s="3"/>
      <c r="I15" s="3"/>
      <c r="J15" s="3"/>
      <c r="K15" s="3"/>
      <c r="L15" s="3"/>
      <c r="M15" s="3"/>
      <c r="N15" s="3"/>
      <c r="O15" s="3"/>
      <c r="P15" s="3"/>
      <c r="Q15" s="3"/>
      <c r="R15" s="3"/>
      <c r="S15" s="3"/>
      <c r="T15" s="3"/>
      <c r="U15" s="3"/>
      <c r="V15" s="3"/>
      <c r="W15" s="3"/>
      <c r="X15" s="3"/>
      <c r="Y15" s="3"/>
      <c r="Z15" s="3"/>
    </row>
    <row r="16" spans="1:26" ht="15.6" x14ac:dyDescent="0.3">
      <c r="A16" s="18" t="s">
        <v>5</v>
      </c>
      <c r="B16" s="24" t="s">
        <v>20</v>
      </c>
      <c r="C16" s="2" t="str">
        <f ca="1">IFERROR(__xludf.DUMMYFUNCTION("GOOGLETRANSLATE(B16, ""bn"", ""en"")"),"45 Muslim community were killed in clashes due to religious tension in Habiganj. While the police failed to quell the violence, the government ordered calm. Many families left the village for security reasons.")</f>
        <v>45 Muslim community were killed in clashes due to religious tension in Habiganj. While the police failed to quell the violence, the government ordered calm. Many families left the village for security reasons.</v>
      </c>
      <c r="D16" s="5"/>
      <c r="E16" s="5"/>
      <c r="F16" s="5"/>
      <c r="G16" s="5"/>
      <c r="H16" s="5"/>
      <c r="I16" s="5"/>
      <c r="J16" s="5"/>
      <c r="K16" s="5"/>
      <c r="L16" s="5"/>
      <c r="M16" s="5"/>
      <c r="N16" s="5"/>
      <c r="O16" s="5"/>
      <c r="P16" s="5"/>
      <c r="Q16" s="5"/>
      <c r="R16" s="5"/>
      <c r="S16" s="5"/>
      <c r="T16" s="5"/>
      <c r="U16" s="5"/>
      <c r="V16" s="5"/>
      <c r="W16" s="5"/>
      <c r="X16" s="5"/>
      <c r="Y16" s="5"/>
      <c r="Z16" s="5"/>
    </row>
    <row r="17" spans="1:26" ht="15.6" x14ac:dyDescent="0.3">
      <c r="A17" s="18" t="s">
        <v>5</v>
      </c>
      <c r="B17" s="24" t="s">
        <v>21</v>
      </c>
      <c r="C17" s="2" t="str">
        <f ca="1">IFERROR(__xludf.DUMMYFUNCTION("GOOGLETRANSLATE(B17, ""bn"", ""en"")"),"In November 2020, 38 people were killed and hundreds injured in a suicide bombing at a mosque by religious extremists.")</f>
        <v>In November 2020, 38 people were killed and hundreds injured in a suicide bombing at a mosque by religious extremists.</v>
      </c>
      <c r="D17" s="5"/>
      <c r="E17" s="5"/>
      <c r="F17" s="5"/>
      <c r="G17" s="5"/>
      <c r="H17" s="5"/>
      <c r="I17" s="5"/>
      <c r="J17" s="5"/>
      <c r="K17" s="5"/>
      <c r="L17" s="5"/>
      <c r="M17" s="5"/>
      <c r="N17" s="5"/>
      <c r="O17" s="5"/>
      <c r="P17" s="5"/>
      <c r="Q17" s="5"/>
      <c r="R17" s="5"/>
      <c r="S17" s="5"/>
      <c r="T17" s="5"/>
      <c r="U17" s="5"/>
      <c r="V17" s="5"/>
      <c r="W17" s="5"/>
      <c r="X17" s="5"/>
      <c r="Y17" s="5"/>
      <c r="Z17" s="5"/>
    </row>
    <row r="18" spans="1:26" ht="15.6" x14ac:dyDescent="0.3">
      <c r="A18" s="18" t="s">
        <v>5</v>
      </c>
      <c r="B18" s="24" t="s">
        <v>22</v>
      </c>
      <c r="C18" s="2" t="str">
        <f ca="1">IFERROR(__xludf.DUMMYFUNCTION("GOOGLETRANSLATE(B18, ""bn"", ""en"")"),"A group blocked a religious procession on the road, killing 19 people in the clash.")</f>
        <v>A group blocked a religious procession on the road, killing 19 people in the clash.</v>
      </c>
      <c r="D18" s="5"/>
      <c r="E18" s="5"/>
      <c r="F18" s="5"/>
      <c r="G18" s="5"/>
      <c r="H18" s="5"/>
      <c r="I18" s="5"/>
      <c r="J18" s="5"/>
      <c r="K18" s="5"/>
      <c r="L18" s="5"/>
      <c r="M18" s="5"/>
      <c r="N18" s="5"/>
      <c r="O18" s="5"/>
      <c r="P18" s="5"/>
      <c r="Q18" s="5"/>
      <c r="R18" s="5"/>
      <c r="S18" s="5"/>
      <c r="T18" s="5"/>
      <c r="U18" s="5"/>
      <c r="V18" s="5"/>
      <c r="W18" s="5"/>
      <c r="X18" s="5"/>
      <c r="Y18" s="5"/>
      <c r="Z18" s="5"/>
    </row>
    <row r="19" spans="1:26" ht="15.6" x14ac:dyDescent="0.3">
      <c r="A19" s="18" t="s">
        <v>23</v>
      </c>
      <c r="B19" s="24" t="s">
        <v>24</v>
      </c>
      <c r="C19" s="2" t="str">
        <f ca="1">IFERROR(__xludf.DUMMYFUNCTION("GOOGLETRANSLATE(B19, ""bn"", ""en"")"),"Some religious fanatics claim that their religion is superior and mock other religions which creates division in the society.")</f>
        <v>Some religious fanatics claim that their religion is superior and mock other religions which creates division in the society.</v>
      </c>
      <c r="D19" s="5"/>
      <c r="E19" s="5"/>
      <c r="F19" s="5"/>
      <c r="G19" s="5"/>
      <c r="H19" s="5"/>
      <c r="I19" s="5"/>
      <c r="J19" s="5"/>
      <c r="K19" s="5"/>
      <c r="L19" s="5"/>
      <c r="M19" s="5"/>
      <c r="N19" s="5"/>
      <c r="O19" s="5"/>
      <c r="P19" s="5"/>
      <c r="Q19" s="5"/>
      <c r="R19" s="5"/>
      <c r="S19" s="5"/>
      <c r="T19" s="5"/>
      <c r="U19" s="5"/>
      <c r="V19" s="5"/>
      <c r="W19" s="5"/>
      <c r="X19" s="5"/>
      <c r="Y19" s="5"/>
      <c r="Z19" s="5"/>
    </row>
    <row r="20" spans="1:26" ht="15.6" x14ac:dyDescent="0.3">
      <c r="A20" s="19" t="s">
        <v>23</v>
      </c>
      <c r="B20" s="26" t="s">
        <v>25</v>
      </c>
      <c r="C20" s="2" t="str">
        <f ca="1">IFERROR(__xludf.DUMMYFUNCTION("GOOGLETRANSLATE(B20, ""bn"", ""en"")"),"Muslims in this country are not only more in number, but the hypocrites of Torjo are more than non-Muslims.")</f>
        <v>Muslims in this country are not only more in number, but the hypocrites of Torjo are more than non-Muslims.</v>
      </c>
      <c r="D20" s="5"/>
      <c r="E20" s="5"/>
      <c r="F20" s="5"/>
      <c r="G20" s="5"/>
      <c r="H20" s="5"/>
      <c r="I20" s="5"/>
      <c r="J20" s="5"/>
      <c r="K20" s="5"/>
      <c r="L20" s="5"/>
      <c r="M20" s="5"/>
      <c r="N20" s="5"/>
      <c r="O20" s="5"/>
      <c r="P20" s="5"/>
      <c r="Q20" s="5"/>
      <c r="R20" s="5"/>
      <c r="S20" s="5"/>
      <c r="T20" s="5"/>
      <c r="U20" s="5"/>
      <c r="V20" s="5"/>
      <c r="W20" s="5"/>
      <c r="X20" s="5"/>
      <c r="Y20" s="5"/>
      <c r="Z20" s="5"/>
    </row>
    <row r="21" spans="1:26" ht="15.6" x14ac:dyDescent="0.3">
      <c r="A21" s="18" t="s">
        <v>23</v>
      </c>
      <c r="B21" s="25" t="s">
        <v>26</v>
      </c>
      <c r="C21" s="2" t="str">
        <f ca="1">IFERROR(__xludf.DUMMYFUNCTION("GOOGLETRANSLATE(B21, ""bn"", ""en"")"),"Those who exaggerate and insult religion can never be religious Religion means peace Sustained by a sense of respect, if I respect your religion you will too")</f>
        <v>Those who exaggerate and insult religion can never be religious Religion means peace Sustained by a sense of respect, if I respect your religion you will too</v>
      </c>
      <c r="D21" s="2"/>
      <c r="E21" s="2"/>
      <c r="F21" s="2"/>
      <c r="G21" s="2"/>
      <c r="H21" s="3"/>
      <c r="I21" s="3"/>
      <c r="J21" s="3"/>
      <c r="K21" s="3"/>
      <c r="L21" s="3"/>
      <c r="M21" s="3"/>
      <c r="N21" s="3"/>
      <c r="O21" s="3"/>
      <c r="P21" s="3"/>
      <c r="Q21" s="3"/>
      <c r="R21" s="3"/>
      <c r="S21" s="3"/>
      <c r="T21" s="3"/>
      <c r="U21" s="3"/>
      <c r="V21" s="3"/>
      <c r="W21" s="3"/>
      <c r="X21" s="3"/>
      <c r="Y21" s="3"/>
      <c r="Z21" s="3"/>
    </row>
    <row r="22" spans="1:26" ht="15.6" x14ac:dyDescent="0.3">
      <c r="A22" s="18" t="s">
        <v>5</v>
      </c>
      <c r="B22" s="24" t="s">
        <v>27</v>
      </c>
      <c r="C22" s="2" t="str">
        <f ca="1">IFERROR(__xludf.DUMMYFUNCTION("GOOGLETRANSLATE(B22, ""bn"", ""en"")"),"45 people were killed in a clash due to religious hatred in a village in Sylhet; Houses and temples were destroyed.")</f>
        <v>45 people were killed in a clash due to religious hatred in a village in Sylhet; Houses and temples were destroyed.</v>
      </c>
      <c r="D22" s="5"/>
      <c r="E22" s="5"/>
      <c r="F22" s="5"/>
      <c r="G22" s="5"/>
      <c r="H22" s="5"/>
      <c r="I22" s="5"/>
      <c r="J22" s="5"/>
      <c r="K22" s="5"/>
      <c r="L22" s="5"/>
      <c r="M22" s="5"/>
      <c r="N22" s="5"/>
      <c r="O22" s="5"/>
      <c r="P22" s="5"/>
      <c r="Q22" s="5"/>
      <c r="R22" s="5"/>
      <c r="S22" s="5"/>
      <c r="T22" s="5"/>
      <c r="U22" s="5"/>
      <c r="V22" s="5"/>
      <c r="W22" s="5"/>
      <c r="X22" s="5"/>
      <c r="Y22" s="5"/>
      <c r="Z22" s="5"/>
    </row>
    <row r="23" spans="1:26" ht="15.6" x14ac:dyDescent="0.3">
      <c r="A23" s="18" t="s">
        <v>5</v>
      </c>
      <c r="B23" s="24" t="s">
        <v>28</v>
      </c>
      <c r="C23" s="2" t="str">
        <f ca="1">IFERROR(__xludf.DUMMYFUNCTION("GOOGLETRANSLATE(B23, ""bn"", ""en"")"),"41 people of minority Hindu community were killed due to religious violence in a village of Patuakhali. The attackers destroyed their homes and businesses.")</f>
        <v>41 people of minority Hindu community were killed due to religious violence in a village of Patuakhali. The attackers destroyed their homes and businesses.</v>
      </c>
      <c r="D23" s="5"/>
      <c r="E23" s="5"/>
      <c r="F23" s="5"/>
      <c r="G23" s="5"/>
      <c r="H23" s="5"/>
      <c r="I23" s="5"/>
      <c r="J23" s="5"/>
      <c r="K23" s="5"/>
      <c r="L23" s="5"/>
      <c r="M23" s="5"/>
      <c r="N23" s="5"/>
      <c r="O23" s="5"/>
      <c r="P23" s="5"/>
      <c r="Q23" s="5"/>
      <c r="R23" s="5"/>
      <c r="S23" s="5"/>
      <c r="T23" s="5"/>
      <c r="U23" s="5"/>
      <c r="V23" s="5"/>
      <c r="W23" s="5"/>
      <c r="X23" s="5"/>
      <c r="Y23" s="5"/>
      <c r="Z23" s="5"/>
    </row>
    <row r="24" spans="1:26" ht="15.6" x14ac:dyDescent="0.3">
      <c r="A24" s="18" t="s">
        <v>3</v>
      </c>
      <c r="B24" s="24" t="s">
        <v>29</v>
      </c>
      <c r="C24" s="2" t="str">
        <f ca="1">IFERROR(__xludf.DUMMYFUNCTION("GOOGLETRANSLATE(B24, ""bn"", ""en"")"),"A person who understands religion to mean not only formalities, but follows justice and mercy, is the truly religious.")</f>
        <v>A person who understands religion to mean not only formalities, but follows justice and mercy, is the truly religious.</v>
      </c>
      <c r="D24" s="5"/>
      <c r="E24" s="5"/>
      <c r="F24" s="5"/>
      <c r="G24" s="5"/>
      <c r="H24" s="5"/>
      <c r="I24" s="5"/>
      <c r="J24" s="5"/>
      <c r="K24" s="5"/>
      <c r="L24" s="5"/>
      <c r="M24" s="5"/>
      <c r="N24" s="5"/>
      <c r="O24" s="5"/>
      <c r="P24" s="5"/>
      <c r="Q24" s="5"/>
      <c r="R24" s="5"/>
      <c r="S24" s="5"/>
      <c r="T24" s="5"/>
      <c r="U24" s="5"/>
      <c r="V24" s="5"/>
      <c r="W24" s="5"/>
      <c r="X24" s="5"/>
      <c r="Y24" s="5"/>
      <c r="Z24" s="5"/>
    </row>
    <row r="25" spans="1:26" ht="15.6" x14ac:dyDescent="0.3">
      <c r="A25" s="18" t="s">
        <v>23</v>
      </c>
      <c r="B25" s="25" t="s">
        <v>30</v>
      </c>
      <c r="C25" s="2" t="str">
        <f ca="1">IFERROR(__xludf.DUMMYFUNCTION("GOOGLETRANSLATE(B25, ""bn"", ""en"")"),"In a puja mandab near Nanua Dighi in Comilla, Hindus have deliberately insulted Muslims by placing the Quran at the foot of the idol, it cannot be tolerated.")</f>
        <v>In a puja mandab near Nanua Dighi in Comilla, Hindus have deliberately insulted Muslims by placing the Quran at the foot of the idol, it cannot be tolerated.</v>
      </c>
      <c r="D25" s="5"/>
      <c r="E25" s="5"/>
      <c r="F25" s="5"/>
      <c r="G25" s="5"/>
      <c r="H25" s="5"/>
      <c r="I25" s="5"/>
      <c r="J25" s="5"/>
      <c r="K25" s="5"/>
      <c r="L25" s="5"/>
      <c r="M25" s="5"/>
      <c r="N25" s="5"/>
      <c r="O25" s="5"/>
      <c r="P25" s="5"/>
      <c r="Q25" s="5"/>
      <c r="R25" s="5"/>
      <c r="S25" s="5"/>
      <c r="T25" s="5"/>
      <c r="U25" s="5"/>
      <c r="V25" s="5"/>
      <c r="W25" s="5"/>
      <c r="X25" s="5"/>
      <c r="Y25" s="5"/>
      <c r="Z25" s="5"/>
    </row>
    <row r="26" spans="1:26" ht="15.6" x14ac:dyDescent="0.3">
      <c r="A26" s="18" t="s">
        <v>3</v>
      </c>
      <c r="B26" s="24" t="s">
        <v>31</v>
      </c>
      <c r="C26" s="2" t="str">
        <f ca="1">IFERROR(__xludf.DUMMYFUNCTION("GOOGLETRANSLATE(B26, ""bn"", ""en"")"),"If one's mind is calmed by reading a Gita, that too is a form of prayer.")</f>
        <v>If one's mind is calmed by reading a Gita, that too is a form of prayer.</v>
      </c>
      <c r="D26" s="5"/>
      <c r="E26" s="5"/>
      <c r="F26" s="5"/>
      <c r="G26" s="5"/>
      <c r="H26" s="5"/>
      <c r="I26" s="5"/>
      <c r="J26" s="5"/>
      <c r="K26" s="5"/>
      <c r="L26" s="5"/>
      <c r="M26" s="5"/>
      <c r="N26" s="5"/>
      <c r="O26" s="5"/>
      <c r="P26" s="5"/>
      <c r="Q26" s="5"/>
      <c r="R26" s="5"/>
      <c r="S26" s="5"/>
      <c r="T26" s="5"/>
      <c r="U26" s="5"/>
      <c r="V26" s="5"/>
      <c r="W26" s="5"/>
      <c r="X26" s="5"/>
      <c r="Y26" s="5"/>
      <c r="Z26" s="5"/>
    </row>
    <row r="27" spans="1:26" ht="15.6" x14ac:dyDescent="0.3">
      <c r="A27" s="18" t="s">
        <v>3</v>
      </c>
      <c r="B27" s="25" t="s">
        <v>32</v>
      </c>
      <c r="C27" s="2" t="str">
        <f ca="1">IFERROR(__xludf.DUMMYFUNCTION("GOOGLETRANSLATE(B27, ""bn"", ""en"")"),"Lying, stealing and harming others is forbidden in Islam; Religion teaches people to serve the sick, poor, parents and follow the righteous path.")</f>
        <v>Lying, stealing and harming others is forbidden in Islam; Religion teaches people to serve the sick, poor, parents and follow the righteous path.</v>
      </c>
      <c r="D27" s="2"/>
      <c r="E27" s="2"/>
      <c r="F27" s="2"/>
      <c r="G27" s="2"/>
      <c r="H27" s="3"/>
      <c r="I27" s="3"/>
      <c r="J27" s="3"/>
      <c r="K27" s="3"/>
      <c r="L27" s="3"/>
      <c r="M27" s="3"/>
      <c r="N27" s="3"/>
      <c r="O27" s="3"/>
      <c r="P27" s="3"/>
      <c r="Q27" s="3"/>
      <c r="R27" s="3"/>
      <c r="S27" s="3"/>
      <c r="T27" s="3"/>
      <c r="U27" s="3"/>
      <c r="V27" s="3"/>
      <c r="W27" s="3"/>
      <c r="X27" s="3"/>
      <c r="Y27" s="3"/>
      <c r="Z27" s="3"/>
    </row>
    <row r="28" spans="1:26" ht="15.6" x14ac:dyDescent="0.3">
      <c r="A28" s="18" t="s">
        <v>5</v>
      </c>
      <c r="B28" s="24" t="s">
        <v>33</v>
      </c>
      <c r="C28" s="2" t="str">
        <f ca="1">IFERROR(__xludf.DUMMYFUNCTION("GOOGLETRANSLATE(B28, ""bn"", ""en"")"),"In January 2022, 45 people were killed, their houses and temples demolished during religious sectarian clashes in a village.")</f>
        <v>In January 2022, 45 people were killed, their houses and temples demolished during religious sectarian clashes in a village.</v>
      </c>
      <c r="D28" s="5"/>
      <c r="E28" s="5"/>
      <c r="F28" s="5"/>
      <c r="G28" s="5"/>
      <c r="H28" s="5"/>
      <c r="I28" s="5"/>
      <c r="J28" s="5"/>
      <c r="K28" s="5"/>
      <c r="L28" s="5"/>
      <c r="M28" s="5"/>
      <c r="N28" s="5"/>
      <c r="O28" s="5"/>
      <c r="P28" s="5"/>
      <c r="Q28" s="5"/>
      <c r="R28" s="5"/>
      <c r="S28" s="5"/>
      <c r="T28" s="5"/>
      <c r="U28" s="5"/>
      <c r="V28" s="5"/>
      <c r="W28" s="5"/>
      <c r="X28" s="5"/>
      <c r="Y28" s="5"/>
      <c r="Z28" s="5"/>
    </row>
    <row r="29" spans="1:26" ht="15.6" x14ac:dyDescent="0.3">
      <c r="A29" s="18" t="s">
        <v>5</v>
      </c>
      <c r="B29" s="24" t="s">
        <v>34</v>
      </c>
      <c r="C29" s="2" t="str">
        <f ca="1">IFERROR(__xludf.DUMMYFUNCTION("GOOGLETRANSLATE(B29, ""bn"", ""en"")"),"In March 2020, 27 people were killed in clashes between students due to religious tensions; Schools and colleges are closed.")</f>
        <v>In March 2020, 27 people were killed in clashes between students due to religious tensions; Schools and colleges are closed.</v>
      </c>
      <c r="D29" s="5"/>
      <c r="E29" s="5"/>
      <c r="F29" s="5"/>
      <c r="G29" s="5"/>
      <c r="H29" s="5"/>
      <c r="I29" s="5"/>
      <c r="J29" s="5"/>
      <c r="K29" s="5"/>
      <c r="L29" s="5"/>
      <c r="M29" s="5"/>
      <c r="N29" s="5"/>
      <c r="O29" s="5"/>
      <c r="P29" s="5"/>
      <c r="Q29" s="5"/>
      <c r="R29" s="5"/>
      <c r="S29" s="5"/>
      <c r="T29" s="5"/>
      <c r="U29" s="5"/>
      <c r="V29" s="5"/>
      <c r="W29" s="5"/>
      <c r="X29" s="5"/>
      <c r="Y29" s="5"/>
      <c r="Z29" s="5"/>
    </row>
    <row r="30" spans="1:26" ht="15.6" x14ac:dyDescent="0.3">
      <c r="A30" s="18" t="s">
        <v>23</v>
      </c>
      <c r="B30" s="25" t="s">
        <v>35</v>
      </c>
      <c r="C30" s="2" t="str">
        <f ca="1">IFERROR(__xludf.DUMMYFUNCTION("GOOGLETRANSLATE(B30, ""bn"", ""en"")"),"In the name of a Hindu girl in Dhaka, she has been disappeared after spreading lies of insulting Islam. This is the fanatical barbaric form of today's Muslim majority.")</f>
        <v>In the name of a Hindu girl in Dhaka, she has been disappeared after spreading lies of insulting Islam. This is the fanatical barbaric form of today's Muslim majority.</v>
      </c>
      <c r="D30" s="5"/>
      <c r="E30" s="5"/>
      <c r="F30" s="5"/>
      <c r="G30" s="5"/>
      <c r="H30" s="5"/>
      <c r="I30" s="5"/>
      <c r="J30" s="5"/>
      <c r="K30" s="5"/>
      <c r="L30" s="5"/>
      <c r="M30" s="5"/>
      <c r="N30" s="5"/>
      <c r="O30" s="5"/>
      <c r="P30" s="5"/>
      <c r="Q30" s="5"/>
      <c r="R30" s="5"/>
      <c r="S30" s="5"/>
      <c r="T30" s="5"/>
      <c r="U30" s="5"/>
      <c r="V30" s="5"/>
      <c r="W30" s="5"/>
      <c r="X30" s="5"/>
      <c r="Y30" s="5"/>
      <c r="Z30" s="5"/>
    </row>
    <row r="31" spans="1:26" ht="15.6" x14ac:dyDescent="0.3">
      <c r="A31" s="18" t="s">
        <v>8</v>
      </c>
      <c r="B31" s="25" t="s">
        <v>36</v>
      </c>
      <c r="C31" s="2" t="str">
        <f ca="1">IFERROR(__xludf.DUMMYFUNCTION("GOOGLETRANSLATE(B31, ""bn"", ""en"")"),"At least 20 people, including children, were injured in police firing on the agitated mob. Incidents of attack and vandalism have also taken place in Patia.")</f>
        <v>At least 20 people, including children, were injured in police firing on the agitated mob. Incidents of attack and vandalism have also taken place in Patia.</v>
      </c>
      <c r="D31" s="2"/>
      <c r="E31" s="2"/>
      <c r="F31" s="2"/>
      <c r="G31" s="2"/>
      <c r="H31" s="3"/>
      <c r="I31" s="3"/>
      <c r="J31" s="3"/>
      <c r="K31" s="3"/>
      <c r="L31" s="3"/>
      <c r="M31" s="3"/>
      <c r="N31" s="3"/>
      <c r="O31" s="3"/>
      <c r="P31" s="3"/>
      <c r="Q31" s="3"/>
      <c r="R31" s="3"/>
      <c r="S31" s="3"/>
      <c r="T31" s="3"/>
      <c r="U31" s="3"/>
      <c r="V31" s="3"/>
      <c r="W31" s="3"/>
      <c r="X31" s="3"/>
      <c r="Y31" s="3"/>
      <c r="Z31" s="3"/>
    </row>
    <row r="32" spans="1:26" ht="15.6" x14ac:dyDescent="0.3">
      <c r="A32" s="19" t="s">
        <v>5</v>
      </c>
      <c r="B32" s="26" t="s">
        <v>37</v>
      </c>
      <c r="C32" s="2" t="str">
        <f ca="1">IFERROR(__xludf.DUMMYFUNCTION("GOOGLETRANSLATE(B32, ""bn"", ""en"")"),"On March 26, a military crackdown was launched against the Hindu community in Bangladesh due to religious identity. Over a thousand Hindus were killed and many became refugees.")</f>
        <v>On March 26, a military crackdown was launched against the Hindu community in Bangladesh due to religious identity. Over a thousand Hindus were killed and many became refugees.</v>
      </c>
      <c r="D32" s="7"/>
      <c r="E32" s="7"/>
      <c r="F32" s="7"/>
      <c r="G32" s="7"/>
      <c r="H32" s="7"/>
      <c r="I32" s="7"/>
      <c r="J32" s="7"/>
      <c r="K32" s="7"/>
      <c r="L32" s="5"/>
      <c r="M32" s="5"/>
      <c r="N32" s="5"/>
      <c r="O32" s="5"/>
      <c r="P32" s="5"/>
      <c r="Q32" s="5"/>
      <c r="R32" s="5"/>
      <c r="S32" s="5"/>
      <c r="T32" s="5"/>
      <c r="U32" s="5"/>
      <c r="V32" s="5"/>
      <c r="W32" s="5"/>
      <c r="X32" s="5"/>
      <c r="Y32" s="5"/>
      <c r="Z32" s="5"/>
    </row>
    <row r="33" spans="1:26" ht="15.6" x14ac:dyDescent="0.3">
      <c r="A33" s="18" t="s">
        <v>3</v>
      </c>
      <c r="B33" s="25" t="s">
        <v>38</v>
      </c>
      <c r="C33" s="2" t="str">
        <f ca="1">IFERROR(__xludf.DUMMYFUNCTION("GOOGLETRANSLATE(B33, ""bn"", ""en"")"),"Bhagavad Gita recitation and religious ceremonies are observed every year on May 2 for the repose of the souls of the martyrs. The monument is now a holy place, where prayers for peace and salvation are offered.")</f>
        <v>Bhagavad Gita recitation and religious ceremonies are observed every year on May 2 for the repose of the souls of the martyrs. The monument is now a holy place, where prayers for peace and salvation are offered.</v>
      </c>
      <c r="D33" s="2"/>
      <c r="E33" s="2"/>
      <c r="F33" s="2"/>
      <c r="G33" s="2"/>
      <c r="H33" s="5"/>
      <c r="I33" s="5"/>
      <c r="J33" s="5"/>
      <c r="K33" s="5"/>
      <c r="L33" s="5"/>
      <c r="M33" s="5"/>
      <c r="N33" s="5"/>
      <c r="O33" s="5"/>
      <c r="P33" s="5"/>
      <c r="Q33" s="5"/>
      <c r="R33" s="5"/>
      <c r="S33" s="5"/>
      <c r="T33" s="5"/>
      <c r="U33" s="5"/>
      <c r="V33" s="5"/>
      <c r="W33" s="5"/>
      <c r="X33" s="5"/>
      <c r="Y33" s="5"/>
      <c r="Z33" s="5"/>
    </row>
    <row r="34" spans="1:26" ht="15.6" x14ac:dyDescent="0.3">
      <c r="A34" s="18" t="s">
        <v>8</v>
      </c>
      <c r="B34" s="25" t="s">
        <v>39</v>
      </c>
      <c r="C34" s="2" t="str">
        <f ca="1">IFERROR(__xludf.DUMMYFUNCTION("GOOGLETRANSLATE(B34, ""bn"", ""en"")"),"A mosque in Comilla's Debidwar was attacked and vandalized. Four people including the secretary of the mosque were injured in this incident.")</f>
        <v>A mosque in Comilla's Debidwar was attacked and vandalized. Four people including the secretary of the mosque were injured in this incident.</v>
      </c>
      <c r="D34" s="6"/>
      <c r="E34" s="2"/>
      <c r="F34" s="2"/>
      <c r="G34" s="2"/>
      <c r="H34" s="3"/>
      <c r="I34" s="3"/>
      <c r="J34" s="3"/>
      <c r="K34" s="3"/>
      <c r="L34" s="3"/>
      <c r="M34" s="3"/>
      <c r="N34" s="3"/>
      <c r="O34" s="3"/>
      <c r="P34" s="3"/>
      <c r="Q34" s="3"/>
      <c r="R34" s="3"/>
      <c r="S34" s="3"/>
      <c r="T34" s="3"/>
      <c r="U34" s="3"/>
      <c r="V34" s="3"/>
      <c r="W34" s="3"/>
      <c r="X34" s="3"/>
      <c r="Y34" s="3"/>
      <c r="Z34" s="3"/>
    </row>
    <row r="35" spans="1:26" ht="15.6" x14ac:dyDescent="0.3">
      <c r="A35" s="18" t="s">
        <v>3</v>
      </c>
      <c r="B35" s="24" t="s">
        <v>40</v>
      </c>
      <c r="C35" s="2" t="str">
        <f ca="1">IFERROR(__xludf.DUMMYFUNCTION("GOOGLETRANSLATE(B35, ""bn"", ""en"")"),"In Ramayana, we see how much patience and honesty Ramachandra lived his life, which is also instructive for us.")</f>
        <v>In Ramayana, we see how much patience and honesty Ramachandra lived his life, which is also instructive for us.</v>
      </c>
      <c r="D35" s="5"/>
      <c r="E35" s="5"/>
      <c r="F35" s="5"/>
      <c r="G35" s="5"/>
      <c r="H35" s="5"/>
      <c r="I35" s="5"/>
      <c r="J35" s="5"/>
      <c r="K35" s="5"/>
      <c r="L35" s="5"/>
      <c r="M35" s="5"/>
      <c r="N35" s="5"/>
      <c r="O35" s="5"/>
      <c r="P35" s="5"/>
      <c r="Q35" s="5"/>
      <c r="R35" s="5"/>
      <c r="S35" s="5"/>
      <c r="T35" s="5"/>
      <c r="U35" s="5"/>
      <c r="V35" s="5"/>
      <c r="W35" s="5"/>
      <c r="X35" s="5"/>
      <c r="Y35" s="5"/>
      <c r="Z35" s="5"/>
    </row>
    <row r="36" spans="1:26" ht="15.6" x14ac:dyDescent="0.3">
      <c r="A36" s="18" t="s">
        <v>8</v>
      </c>
      <c r="B36" s="25" t="s">
        <v>41</v>
      </c>
      <c r="C36" s="2" t="str">
        <f ca="1">IFERROR(__xludf.DUMMYFUNCTION("GOOGLETRANSLATE(B36, ""bn"", ""en"")"),"Irreligious and immoral activities are seen in different parts of the country in the name of religion. Attempts by followers of one religion to attack and disrupt events of other religions are seen.")</f>
        <v>Irreligious and immoral activities are seen in different parts of the country in the name of religion. Attempts by followers of one religion to attack and disrupt events of other religions are seen.</v>
      </c>
      <c r="D36" s="2"/>
      <c r="E36" s="2"/>
      <c r="F36" s="2"/>
      <c r="G36" s="2"/>
      <c r="H36" s="3"/>
      <c r="I36" s="3"/>
      <c r="J36" s="3"/>
      <c r="K36" s="3"/>
      <c r="L36" s="3"/>
      <c r="M36" s="3"/>
      <c r="N36" s="3"/>
      <c r="O36" s="3"/>
      <c r="P36" s="3"/>
      <c r="Q36" s="3"/>
      <c r="R36" s="3"/>
      <c r="S36" s="3"/>
      <c r="T36" s="3"/>
      <c r="U36" s="3"/>
      <c r="V36" s="3"/>
      <c r="W36" s="3"/>
      <c r="X36" s="3"/>
      <c r="Y36" s="3"/>
      <c r="Z36" s="3"/>
    </row>
    <row r="37" spans="1:26" ht="15.6" x14ac:dyDescent="0.3">
      <c r="A37" s="19" t="s">
        <v>23</v>
      </c>
      <c r="B37" s="26" t="s">
        <v>42</v>
      </c>
      <c r="C37" s="2" t="str">
        <f ca="1">IFERROR(__xludf.DUMMYFUNCTION("GOOGLETRANSLATE(B37, ""bn"", ""en"")"),"The Prime Minister of Bangladesh on October 6 condemned the anti-Buddhist violence, calling it premeditated and urging everyone to exercise restraint.")</f>
        <v>The Prime Minister of Bangladesh on October 6 condemned the anti-Buddhist violence, calling it premeditated and urging everyone to exercise restraint.</v>
      </c>
      <c r="D37" s="7"/>
      <c r="E37" s="7"/>
      <c r="F37" s="7"/>
      <c r="G37" s="7"/>
      <c r="H37" s="7"/>
      <c r="I37" s="7"/>
      <c r="J37" s="7"/>
      <c r="K37" s="7"/>
      <c r="L37" s="5"/>
      <c r="M37" s="5"/>
      <c r="N37" s="5"/>
      <c r="O37" s="5"/>
      <c r="P37" s="5"/>
      <c r="Q37" s="5"/>
      <c r="R37" s="5"/>
      <c r="S37" s="5"/>
      <c r="T37" s="5"/>
      <c r="U37" s="5"/>
      <c r="V37" s="5"/>
      <c r="W37" s="5"/>
      <c r="X37" s="5"/>
      <c r="Y37" s="5"/>
      <c r="Z37" s="5"/>
    </row>
    <row r="38" spans="1:26" ht="15.6" x14ac:dyDescent="0.3">
      <c r="A38" s="19" t="s">
        <v>8</v>
      </c>
      <c r="B38" s="26" t="s">
        <v>43</v>
      </c>
      <c r="C38" s="2" t="str">
        <f ca="1">IFERROR(__xludf.DUMMYFUNCTION("GOOGLETRANSLATE(B38, ""bn"", ""en"")"),"Anti-Islamic group tries to burn Quran in Bangladesh's Dhaka")</f>
        <v>Anti-Islamic group tries to burn Quran in Bangladesh's Dhaka</v>
      </c>
      <c r="D38" s="7"/>
      <c r="E38" s="7"/>
      <c r="F38" s="7"/>
      <c r="G38" s="7"/>
      <c r="H38" s="7"/>
      <c r="I38" s="7"/>
      <c r="J38" s="5"/>
      <c r="K38" s="5"/>
      <c r="L38" s="5"/>
      <c r="M38" s="5"/>
      <c r="N38" s="5"/>
      <c r="O38" s="5"/>
      <c r="P38" s="5"/>
      <c r="Q38" s="5"/>
      <c r="R38" s="5"/>
      <c r="S38" s="5"/>
      <c r="T38" s="5"/>
      <c r="U38" s="5"/>
      <c r="V38" s="5"/>
      <c r="W38" s="5"/>
      <c r="X38" s="5"/>
      <c r="Y38" s="5"/>
      <c r="Z38" s="5"/>
    </row>
    <row r="39" spans="1:26" ht="15.6" x14ac:dyDescent="0.3">
      <c r="A39" s="18" t="s">
        <v>5</v>
      </c>
      <c r="B39" s="24" t="s">
        <v>44</v>
      </c>
      <c r="C39" s="2" t="str">
        <f ca="1">IFERROR(__xludf.DUMMYFUNCTION("GOOGLETRANSLATE(B39, ""bn"", ""en"")"),"In December 2019, a suicide bomber attacked the prayer hall of a Christian community. 45 people were killed and many were seriously injured.")</f>
        <v>In December 2019, a suicide bomber attacked the prayer hall of a Christian community. 45 people were killed and many were seriously injured.</v>
      </c>
      <c r="D39" s="5"/>
      <c r="E39" s="5"/>
      <c r="F39" s="5"/>
      <c r="G39" s="5"/>
      <c r="H39" s="5"/>
      <c r="I39" s="5"/>
      <c r="J39" s="5"/>
      <c r="K39" s="5"/>
      <c r="L39" s="5"/>
      <c r="M39" s="5"/>
      <c r="N39" s="5"/>
      <c r="O39" s="5"/>
      <c r="P39" s="5"/>
      <c r="Q39" s="5"/>
      <c r="R39" s="5"/>
      <c r="S39" s="5"/>
      <c r="T39" s="5"/>
      <c r="U39" s="5"/>
      <c r="V39" s="5"/>
      <c r="W39" s="5"/>
      <c r="X39" s="5"/>
      <c r="Y39" s="5"/>
      <c r="Z39" s="5"/>
    </row>
    <row r="40" spans="1:26" ht="15.6" x14ac:dyDescent="0.3">
      <c r="A40" s="19" t="s">
        <v>23</v>
      </c>
      <c r="B40" s="26" t="s">
        <v>45</v>
      </c>
      <c r="C40" s="2" t="str">
        <f ca="1">IFERROR(__xludf.DUMMYFUNCTION("GOOGLETRANSLATE(B40, ""bn"", ""en"")"),"Followers of Islam have to wonder if Islam condones violent reactions after desecration of scriptures.")</f>
        <v>Followers of Islam have to wonder if Islam condones violent reactions after desecration of scriptures.</v>
      </c>
      <c r="D40" s="7"/>
      <c r="E40" s="7"/>
      <c r="F40" s="7"/>
      <c r="G40" s="7"/>
      <c r="H40" s="5"/>
      <c r="I40" s="5"/>
      <c r="J40" s="5"/>
      <c r="K40" s="5"/>
      <c r="L40" s="5"/>
      <c r="M40" s="5"/>
      <c r="N40" s="5"/>
      <c r="O40" s="5"/>
      <c r="P40" s="5"/>
      <c r="Q40" s="5"/>
      <c r="R40" s="5"/>
      <c r="S40" s="5"/>
      <c r="T40" s="5"/>
      <c r="U40" s="5"/>
      <c r="V40" s="5"/>
      <c r="W40" s="5"/>
      <c r="X40" s="5"/>
      <c r="Y40" s="5"/>
      <c r="Z40" s="5"/>
    </row>
    <row r="41" spans="1:26" ht="15.6" x14ac:dyDescent="0.3">
      <c r="A41" s="19" t="s">
        <v>3</v>
      </c>
      <c r="B41" s="26" t="s">
        <v>46</v>
      </c>
      <c r="C41" s="2" t="str">
        <f ca="1">IFERROR(__xludf.DUMMYFUNCTION("GOOGLETRANSLATE(B41, ""bn"", ""en"")"),"In the Bengali self-identity, which is closely related to the country and folk culture, there was a mixed cultural tradition of Hindu-Muslim rituals. Even today, which has not completely disappeared.")</f>
        <v>In the Bengali self-identity, which is closely related to the country and folk culture, there was a mixed cultural tradition of Hindu-Muslim rituals. Even today, which has not completely disappeared.</v>
      </c>
      <c r="D41" s="5"/>
      <c r="E41" s="5"/>
      <c r="F41" s="5"/>
      <c r="G41" s="5"/>
      <c r="H41" s="5"/>
      <c r="I41" s="5"/>
      <c r="J41" s="5"/>
      <c r="K41" s="5"/>
      <c r="L41" s="5"/>
      <c r="M41" s="5"/>
      <c r="N41" s="5"/>
      <c r="O41" s="5"/>
      <c r="P41" s="5"/>
      <c r="Q41" s="5"/>
      <c r="R41" s="5"/>
      <c r="S41" s="5"/>
      <c r="T41" s="5"/>
      <c r="U41" s="5"/>
      <c r="V41" s="5"/>
      <c r="W41" s="5"/>
      <c r="X41" s="5"/>
      <c r="Y41" s="5"/>
      <c r="Z41" s="5"/>
    </row>
    <row r="42" spans="1:26" ht="15.6" x14ac:dyDescent="0.3">
      <c r="A42" s="18" t="s">
        <v>5</v>
      </c>
      <c r="B42" s="24" t="s">
        <v>47</v>
      </c>
      <c r="C42" s="2" t="str">
        <f ca="1">IFERROR(__xludf.DUMMYFUNCTION("GOOGLETRANSLATE(B42, ""bn"", ""en"")"),"31 people killed in Lalmonirhat clash between religious groups; There is extensive damage.")</f>
        <v>31 people killed in Lalmonirhat clash between religious groups; There is extensive damage.</v>
      </c>
      <c r="D42" s="5"/>
      <c r="E42" s="5"/>
      <c r="F42" s="5"/>
      <c r="G42" s="5"/>
      <c r="H42" s="5"/>
      <c r="I42" s="5"/>
      <c r="J42" s="5"/>
      <c r="K42" s="5"/>
      <c r="L42" s="5"/>
      <c r="M42" s="5"/>
      <c r="N42" s="5"/>
      <c r="O42" s="5"/>
      <c r="P42" s="5"/>
      <c r="Q42" s="5"/>
      <c r="R42" s="5"/>
      <c r="S42" s="5"/>
      <c r="T42" s="5"/>
      <c r="U42" s="5"/>
      <c r="V42" s="5"/>
      <c r="W42" s="5"/>
      <c r="X42" s="5"/>
      <c r="Y42" s="5"/>
      <c r="Z42" s="5"/>
    </row>
    <row r="43" spans="1:26" ht="15.6" x14ac:dyDescent="0.3">
      <c r="A43" s="18" t="s">
        <v>23</v>
      </c>
      <c r="B43" s="25" t="s">
        <v>48</v>
      </c>
      <c r="C43" s="2" t="str">
        <f ca="1">IFERROR(__xludf.DUMMYFUNCTION("GOOGLETRANSLATE(B43, ""bn"", ""en"")"),"Pooja was done only in Jagannath Hall. Pooja was not arranged in the whole campus, everywhere, all over the department. Why is there so much itching about being worshiped! Why is there so much hatred and violence!")</f>
        <v>Pooja was done only in Jagannath Hall. Pooja was not arranged in the whole campus, everywhere, all over the department. Why is there so much itching about being worshiped! Why is there so much hatred and violence!</v>
      </c>
      <c r="D43" s="5"/>
      <c r="E43" s="5"/>
      <c r="F43" s="5"/>
      <c r="G43" s="5"/>
      <c r="H43" s="5"/>
      <c r="I43" s="5"/>
      <c r="J43" s="5"/>
      <c r="K43" s="5"/>
      <c r="L43" s="5"/>
      <c r="M43" s="5"/>
      <c r="N43" s="5"/>
      <c r="O43" s="5"/>
      <c r="P43" s="5"/>
      <c r="Q43" s="5"/>
      <c r="R43" s="5"/>
      <c r="S43" s="5"/>
      <c r="T43" s="5"/>
      <c r="U43" s="5"/>
      <c r="V43" s="5"/>
      <c r="W43" s="5"/>
      <c r="X43" s="5"/>
      <c r="Y43" s="5"/>
      <c r="Z43" s="5"/>
    </row>
    <row r="44" spans="1:26" ht="15.6" x14ac:dyDescent="0.3">
      <c r="A44" s="18" t="s">
        <v>8</v>
      </c>
      <c r="B44" s="25" t="s">
        <v>49</v>
      </c>
      <c r="C44" s="2" t="str">
        <f ca="1">IFERROR(__xludf.DUMMYFUNCTION("GOOGLETRANSLATE(B44, ""bn"", ""en"")"),"Extremist dogs are inciting riots to occupy the house of a minority Hindu family in Domar. ")</f>
        <v xml:space="preserve">Extremist dogs are inciting riots to occupy the house of a minority Hindu family in Domar. </v>
      </c>
      <c r="D44" s="2"/>
      <c r="E44" s="2"/>
      <c r="F44" s="2"/>
      <c r="G44" s="2"/>
      <c r="H44" s="3"/>
      <c r="I44" s="3"/>
      <c r="J44" s="3"/>
      <c r="K44" s="3"/>
      <c r="L44" s="3"/>
      <c r="M44" s="3"/>
      <c r="N44" s="3"/>
      <c r="O44" s="3"/>
      <c r="P44" s="3"/>
      <c r="Q44" s="3"/>
      <c r="R44" s="3"/>
      <c r="S44" s="3"/>
      <c r="T44" s="3"/>
      <c r="U44" s="3"/>
      <c r="V44" s="3"/>
      <c r="W44" s="3"/>
      <c r="X44" s="3"/>
      <c r="Y44" s="3"/>
      <c r="Z44" s="3"/>
    </row>
    <row r="45" spans="1:26" ht="15.6" x14ac:dyDescent="0.3">
      <c r="A45" s="18" t="s">
        <v>3</v>
      </c>
      <c r="B45" s="25" t="s">
        <v>50</v>
      </c>
      <c r="C45" s="2" t="str">
        <f ca="1">IFERROR(__xludf.DUMMYFUNCTION("GOOGLETRANSLATE(B45, ""bn"", ""en"")"),"It is not an argument about religion, but people should leave these issues and move forward together.")</f>
        <v>It is not an argument about religion, but people should leave these issues and move forward together.</v>
      </c>
      <c r="D45" s="5"/>
      <c r="E45" s="5"/>
      <c r="F45" s="5"/>
      <c r="G45" s="5"/>
      <c r="H45" s="5"/>
      <c r="I45" s="5"/>
      <c r="J45" s="5"/>
      <c r="K45" s="5"/>
      <c r="L45" s="5"/>
      <c r="M45" s="5"/>
      <c r="N45" s="5"/>
      <c r="O45" s="5"/>
      <c r="P45" s="5"/>
      <c r="Q45" s="5"/>
      <c r="R45" s="5"/>
      <c r="S45" s="5"/>
      <c r="T45" s="5"/>
      <c r="U45" s="5"/>
      <c r="V45" s="5"/>
      <c r="W45" s="5"/>
      <c r="X45" s="5"/>
      <c r="Y45" s="5"/>
      <c r="Z45" s="5"/>
    </row>
    <row r="46" spans="1:26" ht="15.6" x14ac:dyDescent="0.3">
      <c r="A46" s="18" t="s">
        <v>3</v>
      </c>
      <c r="B46" s="25" t="s">
        <v>51</v>
      </c>
      <c r="C46" s="2" t="str">
        <f ca="1">IFERROR(__xludf.DUMMYFUNCTION("GOOGLETRANSLATE(B46, ""bn"", ""en"")"),"A pious person always prioritizes the Hereafter above everything else. He learns to despise worldly life.")</f>
        <v>A pious person always prioritizes the Hereafter above everything else. He learns to despise worldly life.</v>
      </c>
      <c r="D46" s="5"/>
      <c r="E46" s="5"/>
      <c r="F46" s="5"/>
      <c r="G46" s="5"/>
      <c r="H46" s="5"/>
      <c r="I46" s="5"/>
      <c r="J46" s="5"/>
      <c r="K46" s="5"/>
      <c r="L46" s="5"/>
      <c r="M46" s="5"/>
      <c r="N46" s="5"/>
      <c r="O46" s="5"/>
      <c r="P46" s="5"/>
      <c r="Q46" s="5"/>
      <c r="R46" s="5"/>
      <c r="S46" s="5"/>
      <c r="T46" s="5"/>
      <c r="U46" s="5"/>
      <c r="V46" s="5"/>
      <c r="W46" s="5"/>
      <c r="X46" s="5"/>
      <c r="Y46" s="5"/>
      <c r="Z46" s="5"/>
    </row>
    <row r="47" spans="1:26" ht="15.6" x14ac:dyDescent="0.3">
      <c r="A47" s="18" t="s">
        <v>3</v>
      </c>
      <c r="B47" s="25" t="s">
        <v>52</v>
      </c>
      <c r="C47" s="2" t="str">
        <f ca="1">IFERROR(__xludf.DUMMYFUNCTION("GOOGLETRANSLATE(B47, ""bn"", ""en"")"),"Around this festival, the Buddhist monasteries are decorated in a new style. In the evening, lanterns are flown in the neighborhood in a festive atmosphere.")</f>
        <v>Around this festival, the Buddhist monasteries are decorated in a new style. In the evening, lanterns are flown in the neighborhood in a festive atmosphere.</v>
      </c>
      <c r="D47" s="5"/>
      <c r="E47" s="5"/>
      <c r="F47" s="5"/>
      <c r="G47" s="5"/>
      <c r="H47" s="5"/>
      <c r="I47" s="5"/>
      <c r="J47" s="5"/>
      <c r="K47" s="5"/>
      <c r="L47" s="5"/>
      <c r="M47" s="5"/>
      <c r="N47" s="5"/>
      <c r="O47" s="5"/>
      <c r="P47" s="5"/>
      <c r="Q47" s="5"/>
      <c r="R47" s="5"/>
      <c r="S47" s="5"/>
      <c r="T47" s="5"/>
      <c r="U47" s="5"/>
      <c r="V47" s="5"/>
      <c r="W47" s="5"/>
      <c r="X47" s="5"/>
      <c r="Y47" s="5"/>
      <c r="Z47" s="5"/>
    </row>
    <row r="48" spans="1:26" ht="15.6" x14ac:dyDescent="0.3">
      <c r="A48" s="19" t="s">
        <v>3</v>
      </c>
      <c r="B48" s="26" t="s">
        <v>53</v>
      </c>
      <c r="C48" s="2" t="str">
        <f ca="1">IFERROR(__xludf.DUMMYFUNCTION("GOOGLETRANSLATE(B48, ""bn"", ""en"")"),"Religion is a path that leads people to truth, justice and peace, and is never intended to create violence or controversy, but to spread compassion, respect and love among all people. wants")</f>
        <v>Religion is a path that leads people to truth, justice and peace, and is never intended to create violence or controversy, but to spread compassion, respect and love among all people. wants</v>
      </c>
      <c r="D48" s="5"/>
      <c r="E48" s="5"/>
      <c r="F48" s="5"/>
      <c r="G48" s="5"/>
      <c r="H48" s="5"/>
      <c r="I48" s="5"/>
      <c r="J48" s="5"/>
      <c r="K48" s="5"/>
      <c r="L48" s="5"/>
      <c r="M48" s="5"/>
      <c r="N48" s="5"/>
      <c r="O48" s="5"/>
      <c r="P48" s="5"/>
      <c r="Q48" s="5"/>
      <c r="R48" s="5"/>
      <c r="S48" s="5"/>
      <c r="T48" s="5"/>
      <c r="U48" s="5"/>
      <c r="V48" s="5"/>
      <c r="W48" s="5"/>
      <c r="X48" s="5"/>
      <c r="Y48" s="5"/>
      <c r="Z48" s="5"/>
    </row>
    <row r="49" spans="1:26" ht="15.6" x14ac:dyDescent="0.3">
      <c r="A49" s="18" t="s">
        <v>3</v>
      </c>
      <c r="B49" s="25" t="s">
        <v>54</v>
      </c>
      <c r="C49" s="2" t="str">
        <f ca="1">IFERROR(__xludf.DUMMYFUNCTION("GOOGLETRANSLATE(B49, ""bn"", ""en"")"),"The Catholic Church has seven major feasts, the most important of which is the celebration of Jesus' Passover. This is accomplished by reciting hymns in the presence of many people.")</f>
        <v>The Catholic Church has seven major feasts, the most important of which is the celebration of Jesus' Passover. This is accomplished by reciting hymns in the presence of many people.</v>
      </c>
      <c r="D49" s="5"/>
      <c r="E49" s="5"/>
      <c r="F49" s="5"/>
      <c r="G49" s="5"/>
      <c r="H49" s="5"/>
      <c r="I49" s="5"/>
      <c r="J49" s="5"/>
      <c r="K49" s="5"/>
      <c r="L49" s="5"/>
      <c r="M49" s="5"/>
      <c r="N49" s="5"/>
      <c r="O49" s="5"/>
      <c r="P49" s="5"/>
      <c r="Q49" s="5"/>
      <c r="R49" s="5"/>
      <c r="S49" s="5"/>
      <c r="T49" s="5"/>
      <c r="U49" s="5"/>
      <c r="V49" s="5"/>
      <c r="W49" s="5"/>
      <c r="X49" s="5"/>
      <c r="Y49" s="5"/>
      <c r="Z49" s="5"/>
    </row>
    <row r="50" spans="1:26" ht="15.6" x14ac:dyDescent="0.3">
      <c r="A50" s="18" t="s">
        <v>8</v>
      </c>
      <c r="B50" s="24" t="s">
        <v>55</v>
      </c>
      <c r="C50" s="2" t="str">
        <f ca="1">IFERROR(__xludf.DUMMYFUNCTION("GOOGLETRANSLATE(B50, ""bn"", ""en"")"),"On 22 June 2024, a Radhakrishna temple in Faridpur was attacked at night before the Rath Yatra and all the idols and musical instruments were smashed.")</f>
        <v>On 22 June 2024, a Radhakrishna temple in Faridpur was attacked at night before the Rath Yatra and all the idols and musical instruments were smashed.</v>
      </c>
      <c r="D50" s="5"/>
      <c r="E50" s="5"/>
      <c r="F50" s="5"/>
      <c r="G50" s="5"/>
      <c r="H50" s="5"/>
      <c r="I50" s="5"/>
      <c r="J50" s="5"/>
      <c r="K50" s="5"/>
      <c r="L50" s="5"/>
      <c r="M50" s="5"/>
      <c r="N50" s="5"/>
      <c r="O50" s="5"/>
      <c r="P50" s="5"/>
      <c r="Q50" s="5"/>
      <c r="R50" s="5"/>
      <c r="S50" s="5"/>
      <c r="T50" s="5"/>
      <c r="U50" s="5"/>
      <c r="V50" s="5"/>
      <c r="W50" s="5"/>
      <c r="X50" s="5"/>
      <c r="Y50" s="5"/>
      <c r="Z50" s="5"/>
    </row>
    <row r="51" spans="1:26" ht="15.6" x14ac:dyDescent="0.3">
      <c r="A51" s="18" t="s">
        <v>5</v>
      </c>
      <c r="B51" s="25" t="s">
        <v>56</v>
      </c>
      <c r="C51" s="2" t="str">
        <f ca="1">IFERROR(__xludf.DUMMYFUNCTION("GOOGLETRANSLATE(B51, ""bn"", ""en"")"),"They captured a woman named Bimala Sundari Pal and killed her for being a Hindu. Moiman Union Parishad President Barda Prasad Roy and 16 members of his family were brutally killed by mad Muslims.[")</f>
        <v>They captured a woman named Bimala Sundari Pal and killed her for being a Hindu. Moiman Union Parishad President Barda Prasad Roy and 16 members of his family were brutally killed by mad Muslims.[</v>
      </c>
      <c r="D51" s="5"/>
      <c r="E51" s="5"/>
      <c r="F51" s="5"/>
      <c r="G51" s="5"/>
      <c r="H51" s="5"/>
      <c r="I51" s="5"/>
      <c r="J51" s="5"/>
      <c r="K51" s="5"/>
      <c r="L51" s="5"/>
      <c r="M51" s="5"/>
      <c r="N51" s="5"/>
      <c r="O51" s="5"/>
      <c r="P51" s="5"/>
      <c r="Q51" s="5"/>
      <c r="R51" s="5"/>
      <c r="S51" s="5"/>
      <c r="T51" s="5"/>
      <c r="U51" s="5"/>
      <c r="V51" s="5"/>
      <c r="W51" s="5"/>
      <c r="X51" s="5"/>
      <c r="Y51" s="5"/>
      <c r="Z51" s="5"/>
    </row>
    <row r="52" spans="1:26" ht="15.6" x14ac:dyDescent="0.3">
      <c r="A52" s="18" t="s">
        <v>5</v>
      </c>
      <c r="B52" s="25" t="s">
        <v>57</v>
      </c>
      <c r="C52" s="2" t="str">
        <f ca="1">IFERROR(__xludf.DUMMYFUNCTION("GOOGLETRANSLATE(B52, ""bn"", ""en"")"),"Hindu-Muslim riots erupted in Narsingdi when opponents and supporters of the Citizenship Amendment Act (CAA) clashed, killing 53 people, mostly Muslims.")</f>
        <v>Hindu-Muslim riots erupted in Narsingdi when opponents and supporters of the Citizenship Amendment Act (CAA) clashed, killing 53 people, mostly Muslims.</v>
      </c>
      <c r="D52" s="2"/>
      <c r="E52" s="2"/>
      <c r="F52" s="2"/>
      <c r="G52" s="2"/>
      <c r="H52" s="3"/>
      <c r="I52" s="3"/>
      <c r="J52" s="3"/>
      <c r="K52" s="3"/>
      <c r="L52" s="3"/>
      <c r="M52" s="3"/>
      <c r="N52" s="3"/>
      <c r="O52" s="3"/>
      <c r="P52" s="3"/>
      <c r="Q52" s="3"/>
      <c r="R52" s="3"/>
      <c r="S52" s="3"/>
      <c r="T52" s="3"/>
      <c r="U52" s="3"/>
      <c r="V52" s="3"/>
      <c r="W52" s="3"/>
      <c r="X52" s="3"/>
      <c r="Y52" s="3"/>
      <c r="Z52" s="3"/>
    </row>
    <row r="53" spans="1:26" ht="15.6" x14ac:dyDescent="0.3">
      <c r="A53" s="18" t="s">
        <v>3</v>
      </c>
      <c r="B53" s="25" t="s">
        <v>58</v>
      </c>
      <c r="C53" s="2" t="str">
        <f ca="1">IFERROR(__xludf.DUMMYFUNCTION("GOOGLETRANSLATE(B53, ""bn"", ""en"")"),"Where the Holy Prophet (PBUH) himself said that those who harm the innocent or non-majority infidels, I myself will complain to Allah against them or seek redress against them.")</f>
        <v>Where the Holy Prophet (PBUH) himself said that those who harm the innocent or non-majority infidels, I myself will complain to Allah against them or seek redress against them.</v>
      </c>
      <c r="D53" s="5"/>
      <c r="E53" s="5"/>
      <c r="F53" s="5"/>
      <c r="G53" s="5"/>
      <c r="H53" s="5"/>
      <c r="I53" s="5"/>
      <c r="J53" s="5"/>
      <c r="K53" s="5"/>
      <c r="L53" s="5"/>
      <c r="M53" s="5"/>
      <c r="N53" s="5"/>
      <c r="O53" s="5"/>
      <c r="P53" s="5"/>
      <c r="Q53" s="5"/>
      <c r="R53" s="5"/>
      <c r="S53" s="5"/>
      <c r="T53" s="5"/>
      <c r="U53" s="5"/>
      <c r="V53" s="5"/>
      <c r="W53" s="5"/>
      <c r="X53" s="5"/>
      <c r="Y53" s="5"/>
      <c r="Z53" s="5"/>
    </row>
    <row r="54" spans="1:26" ht="15.6" x14ac:dyDescent="0.3">
      <c r="A54" s="18" t="s">
        <v>5</v>
      </c>
      <c r="B54" s="24" t="s">
        <v>59</v>
      </c>
      <c r="C54" s="2" t="str">
        <f ca="1">IFERROR(__xludf.DUMMYFUNCTION("GOOGLETRANSLATE(B54, ""bn"", ""en"")"),"A family was driven out of their village and their house was razed for converting to Christianity. Total killed: 3 people.")</f>
        <v>A family was driven out of their village and their house was razed for converting to Christianity. Total killed: 3 people.</v>
      </c>
      <c r="D54" s="5"/>
      <c r="E54" s="5"/>
      <c r="F54" s="5"/>
      <c r="G54" s="5"/>
      <c r="H54" s="5"/>
      <c r="I54" s="5"/>
      <c r="J54" s="5"/>
      <c r="K54" s="5"/>
      <c r="L54" s="5"/>
      <c r="M54" s="5"/>
      <c r="N54" s="5"/>
      <c r="O54" s="5"/>
      <c r="P54" s="5"/>
      <c r="Q54" s="5"/>
      <c r="R54" s="5"/>
      <c r="S54" s="5"/>
      <c r="T54" s="5"/>
      <c r="U54" s="5"/>
      <c r="V54" s="5"/>
      <c r="W54" s="5"/>
      <c r="X54" s="5"/>
      <c r="Y54" s="5"/>
      <c r="Z54" s="5"/>
    </row>
    <row r="55" spans="1:26" ht="15.6" x14ac:dyDescent="0.3">
      <c r="A55" s="18" t="s">
        <v>5</v>
      </c>
      <c r="B55" s="24" t="s">
        <v>60</v>
      </c>
      <c r="C55" s="2" t="str">
        <f ca="1">IFERROR(__xludf.DUMMYFUNCTION("GOOGLETRANSLATE(B55, ""bn"", ""en"")"),"A man was handed over to the mob and stoned to death without trial on religious grounds; 11 people lost their lives in this atrocity.")</f>
        <v>A man was handed over to the mob and stoned to death without trial on religious grounds; 11 people lost their lives in this atrocity.</v>
      </c>
      <c r="D55" s="5"/>
      <c r="E55" s="5"/>
      <c r="F55" s="5"/>
      <c r="G55" s="5"/>
      <c r="H55" s="5"/>
      <c r="I55" s="5"/>
      <c r="J55" s="5"/>
      <c r="K55" s="5"/>
      <c r="L55" s="5"/>
      <c r="M55" s="5"/>
      <c r="N55" s="5"/>
      <c r="O55" s="5"/>
      <c r="P55" s="5"/>
      <c r="Q55" s="5"/>
      <c r="R55" s="5"/>
      <c r="S55" s="5"/>
      <c r="T55" s="5"/>
      <c r="U55" s="5"/>
      <c r="V55" s="5"/>
      <c r="W55" s="5"/>
      <c r="X55" s="5"/>
      <c r="Y55" s="5"/>
      <c r="Z55" s="5"/>
    </row>
    <row r="56" spans="1:26" ht="15.6" x14ac:dyDescent="0.3">
      <c r="A56" s="19" t="s">
        <v>23</v>
      </c>
      <c r="B56" s="26" t="s">
        <v>61</v>
      </c>
      <c r="C56" s="2" t="str">
        <f ca="1">IFERROR(__xludf.DUMMYFUNCTION("GOOGLETRANSLATE(B56, ""bn"", ""en"")"),"Legal action should be taken against Gaharpur Sujan of Meherpur Sadar Upazila for his controversial statement on Islam.")</f>
        <v>Legal action should be taken against Gaharpur Sujan of Meherpur Sadar Upazila for his controversial statement on Islam.</v>
      </c>
      <c r="D56" s="7"/>
      <c r="E56" s="7"/>
      <c r="F56" s="7"/>
      <c r="G56" s="7"/>
      <c r="H56" s="7"/>
      <c r="I56" s="5"/>
      <c r="J56" s="5"/>
      <c r="K56" s="5"/>
      <c r="L56" s="5"/>
      <c r="M56" s="5"/>
      <c r="N56" s="5"/>
      <c r="O56" s="5"/>
      <c r="P56" s="5"/>
      <c r="Q56" s="5"/>
      <c r="R56" s="5"/>
      <c r="S56" s="5"/>
      <c r="T56" s="5"/>
      <c r="U56" s="5"/>
      <c r="V56" s="5"/>
      <c r="W56" s="5"/>
      <c r="X56" s="5"/>
      <c r="Y56" s="5"/>
      <c r="Z56" s="5"/>
    </row>
    <row r="57" spans="1:26" ht="15.6" x14ac:dyDescent="0.3">
      <c r="A57" s="19" t="s">
        <v>3</v>
      </c>
      <c r="B57" s="26" t="s">
        <v>62</v>
      </c>
      <c r="C57" s="2" t="str">
        <f ca="1">IFERROR(__xludf.DUMMYFUNCTION("GOOGLETRANSLATE(B57, ""bn"", ""en"")"),"Islam was at the beginning of the creation of the world and will be at the end of the destruction of the world")</f>
        <v>Islam was at the beginning of the creation of the world and will be at the end of the destruction of the world</v>
      </c>
      <c r="D57" s="7"/>
      <c r="E57" s="5"/>
      <c r="F57" s="5"/>
      <c r="G57" s="5"/>
      <c r="H57" s="5"/>
      <c r="I57" s="5"/>
      <c r="J57" s="5"/>
      <c r="K57" s="5"/>
      <c r="L57" s="5"/>
      <c r="M57" s="5"/>
      <c r="N57" s="5"/>
      <c r="O57" s="5"/>
      <c r="P57" s="5"/>
      <c r="Q57" s="5"/>
      <c r="R57" s="5"/>
      <c r="S57" s="5"/>
      <c r="T57" s="5"/>
      <c r="U57" s="5"/>
      <c r="V57" s="5"/>
      <c r="W57" s="5"/>
      <c r="X57" s="5"/>
      <c r="Y57" s="5"/>
      <c r="Z57" s="5"/>
    </row>
    <row r="58" spans="1:26" ht="15.6" x14ac:dyDescent="0.3">
      <c r="A58" s="19" t="s">
        <v>8</v>
      </c>
      <c r="B58" s="26" t="s">
        <v>63</v>
      </c>
      <c r="C58" s="2" t="str">
        <f ca="1">IFERROR(__xludf.DUMMYFUNCTION("GOOGLETRANSLATE(B58, ""bn"", ""en"")"),"On the night of August 27, the newly constructed idol of Sarvajanin Durga temple in Vadiakhola village of Harirampur upazila of Manikganj was vandalized.")</f>
        <v>On the night of August 27, the newly constructed idol of Sarvajanin Durga temple in Vadiakhola village of Harirampur upazila of Manikganj was vandalized.</v>
      </c>
      <c r="D58" s="7"/>
      <c r="E58" s="7"/>
      <c r="F58" s="7"/>
      <c r="G58" s="7"/>
      <c r="H58" s="7"/>
      <c r="I58" s="7"/>
      <c r="J58" s="5"/>
      <c r="K58" s="5"/>
      <c r="L58" s="5"/>
      <c r="M58" s="5"/>
      <c r="N58" s="5"/>
      <c r="O58" s="5"/>
      <c r="P58" s="5"/>
      <c r="Q58" s="5"/>
      <c r="R58" s="5"/>
      <c r="S58" s="5"/>
      <c r="T58" s="5"/>
      <c r="U58" s="5"/>
      <c r="V58" s="5"/>
      <c r="W58" s="5"/>
      <c r="X58" s="5"/>
      <c r="Y58" s="5"/>
      <c r="Z58" s="5"/>
    </row>
    <row r="59" spans="1:26" ht="15.6" x14ac:dyDescent="0.3">
      <c r="A59" s="18" t="s">
        <v>8</v>
      </c>
      <c r="B59" s="25" t="s">
        <v>64</v>
      </c>
      <c r="C59" s="2" t="str">
        <f ca="1">IFERROR(__xludf.DUMMYFUNCTION("GOOGLETRANSLATE(B59, ""bn"", ""en"")"),"Muslims tried to throw out all the Hindu traders and shop owners from the bazaars. Hindus who were trying to rebuild their looted and destroyed houses were threatened to leave the area.")</f>
        <v>Muslims tried to throw out all the Hindu traders and shop owners from the bazaars. Hindus who were trying to rebuild their looted and destroyed houses were threatened to leave the area.</v>
      </c>
      <c r="D59" s="2"/>
      <c r="E59" s="2"/>
      <c r="F59" s="2"/>
      <c r="G59" s="2"/>
      <c r="H59" s="3"/>
      <c r="I59" s="3"/>
      <c r="J59" s="3"/>
      <c r="K59" s="3"/>
      <c r="L59" s="3"/>
      <c r="M59" s="3"/>
      <c r="N59" s="3"/>
      <c r="O59" s="3"/>
      <c r="P59" s="3"/>
      <c r="Q59" s="3"/>
      <c r="R59" s="3"/>
      <c r="S59" s="3"/>
      <c r="T59" s="3"/>
      <c r="U59" s="3"/>
      <c r="V59" s="3"/>
      <c r="W59" s="3"/>
      <c r="X59" s="3"/>
      <c r="Y59" s="3"/>
      <c r="Z59" s="3"/>
    </row>
    <row r="60" spans="1:26" ht="15.6" x14ac:dyDescent="0.3">
      <c r="A60" s="18" t="s">
        <v>5</v>
      </c>
      <c r="B60" s="25" t="s">
        <v>65</v>
      </c>
      <c r="C60" s="2" t="str">
        <f ca="1">IFERROR(__xludf.DUMMYFUNCTION("GOOGLETRANSLATE(B60, ""bn"", ""en"")"),"After the brutal rape and murder of a young woman, an MLA was accused of inciting communal tension over the religious identity of the rapists, who implied that the rapists were Muslim. Various Muslim organizations strongly protested this.")</f>
        <v>After the brutal rape and murder of a young woman, an MLA was accused of inciting communal tension over the religious identity of the rapists, who implied that the rapists were Muslim. Various Muslim organizations strongly protested this.</v>
      </c>
      <c r="D60" s="6"/>
      <c r="E60" s="6"/>
      <c r="F60" s="6"/>
      <c r="G60" s="6"/>
      <c r="H60" s="3"/>
      <c r="I60" s="3"/>
      <c r="J60" s="3"/>
      <c r="K60" s="3"/>
      <c r="L60" s="3"/>
      <c r="M60" s="3"/>
      <c r="N60" s="3"/>
      <c r="O60" s="3"/>
      <c r="P60" s="3"/>
      <c r="Q60" s="3"/>
      <c r="R60" s="3"/>
      <c r="S60" s="3"/>
      <c r="T60" s="3"/>
      <c r="U60" s="3"/>
      <c r="V60" s="3"/>
      <c r="W60" s="3"/>
      <c r="X60" s="3"/>
      <c r="Y60" s="3"/>
      <c r="Z60" s="3"/>
    </row>
    <row r="61" spans="1:26" ht="15.6" x14ac:dyDescent="0.3">
      <c r="A61" s="18" t="s">
        <v>5</v>
      </c>
      <c r="B61" s="24" t="s">
        <v>66</v>
      </c>
      <c r="C61" s="2" t="str">
        <f ca="1">IFERROR(__xludf.DUMMYFUNCTION("GOOGLETRANSLATE(B61, ""bn"", ""en"")"),"In June 2020, 11 people were killed when a group carried out widespread violence against religious people.")</f>
        <v>In June 2020, 11 people were killed when a group carried out widespread violence against religious people.</v>
      </c>
      <c r="D61" s="5"/>
      <c r="E61" s="5"/>
      <c r="F61" s="5"/>
      <c r="G61" s="5"/>
      <c r="H61" s="5"/>
      <c r="I61" s="5"/>
      <c r="J61" s="5"/>
      <c r="K61" s="5"/>
      <c r="L61" s="5"/>
      <c r="M61" s="5"/>
      <c r="N61" s="5"/>
      <c r="O61" s="5"/>
      <c r="P61" s="5"/>
      <c r="Q61" s="5"/>
      <c r="R61" s="5"/>
      <c r="S61" s="5"/>
      <c r="T61" s="5"/>
      <c r="U61" s="5"/>
      <c r="V61" s="5"/>
      <c r="W61" s="5"/>
      <c r="X61" s="5"/>
      <c r="Y61" s="5"/>
      <c r="Z61" s="5"/>
    </row>
    <row r="62" spans="1:26" ht="15.6" x14ac:dyDescent="0.3">
      <c r="A62" s="18" t="s">
        <v>5</v>
      </c>
      <c r="B62" s="24" t="s">
        <v>67</v>
      </c>
      <c r="C62" s="2" t="str">
        <f ca="1">IFERROR(__xludf.DUMMYFUNCTION("GOOGLETRANSLATE(B62, ""bn"", ""en"")"),"A group attacked religious teachers, killing 18.")</f>
        <v>A group attacked religious teachers, killing 18.</v>
      </c>
      <c r="D62" s="5"/>
      <c r="E62" s="5"/>
      <c r="F62" s="5"/>
      <c r="G62" s="5"/>
      <c r="H62" s="5"/>
      <c r="I62" s="5"/>
      <c r="J62" s="5"/>
      <c r="K62" s="5"/>
      <c r="L62" s="5"/>
      <c r="M62" s="5"/>
      <c r="N62" s="5"/>
      <c r="O62" s="5"/>
      <c r="P62" s="5"/>
      <c r="Q62" s="5"/>
      <c r="R62" s="5"/>
      <c r="S62" s="5"/>
      <c r="T62" s="5"/>
      <c r="U62" s="5"/>
      <c r="V62" s="5"/>
      <c r="W62" s="5"/>
      <c r="X62" s="5"/>
      <c r="Y62" s="5"/>
      <c r="Z62" s="5"/>
    </row>
    <row r="63" spans="1:26" ht="15.6" x14ac:dyDescent="0.3">
      <c r="A63" s="18" t="s">
        <v>23</v>
      </c>
      <c r="B63" s="25" t="s">
        <v>68</v>
      </c>
      <c r="C63" s="2" t="str">
        <f ca="1">IFERROR(__xludf.DUMMYFUNCTION("GOOGLETRANSLATE(B63, ""bn"", ""en"")"),"Islam is never a militant religion, at the same time there is extremism and militancy in the name of religion, not only in Islam, but in all religions, then why is Islam and Kalema flag only used in the movie?""")</f>
        <v>Islam is never a militant religion, at the same time there is extremism and militancy in the name of religion, not only in Islam, but in all religions, then why is Islam and Kalema flag only used in the movie?"</v>
      </c>
      <c r="D63" s="5"/>
      <c r="E63" s="5"/>
      <c r="F63" s="5"/>
      <c r="G63" s="5"/>
      <c r="H63" s="5"/>
      <c r="I63" s="5"/>
      <c r="J63" s="5"/>
      <c r="K63" s="5"/>
      <c r="L63" s="5"/>
      <c r="M63" s="5"/>
      <c r="N63" s="5"/>
      <c r="O63" s="5"/>
      <c r="P63" s="5"/>
      <c r="Q63" s="5"/>
      <c r="R63" s="5"/>
      <c r="S63" s="5"/>
      <c r="T63" s="5"/>
      <c r="U63" s="5"/>
      <c r="V63" s="5"/>
      <c r="W63" s="5"/>
      <c r="X63" s="5"/>
      <c r="Y63" s="5"/>
      <c r="Z63" s="5"/>
    </row>
    <row r="64" spans="1:26" ht="15.6" x14ac:dyDescent="0.3">
      <c r="A64" s="18" t="s">
        <v>3</v>
      </c>
      <c r="B64" s="25" t="s">
        <v>69</v>
      </c>
      <c r="C64" s="2" t="str">
        <f ca="1">IFERROR(__xludf.DUMMYFUNCTION("GOOGLETRANSLATE(B64, ""bn"", ""en"")"),"Masha Allah Alhamdulillah. Very nicely explained. If you understand and try to read it in this way, it is definitely possible to recite the Qur'an Majeed inshAllah.")</f>
        <v>Masha Allah Alhamdulillah. Very nicely explained. If you understand and try to read it in this way, it is definitely possible to recite the Qur'an Majeed inshAllah.</v>
      </c>
      <c r="D64" s="5"/>
      <c r="E64" s="5"/>
      <c r="F64" s="5"/>
      <c r="G64" s="5"/>
      <c r="H64" s="5"/>
      <c r="I64" s="5"/>
      <c r="J64" s="5"/>
      <c r="K64" s="5"/>
      <c r="L64" s="5"/>
      <c r="M64" s="5"/>
      <c r="N64" s="5"/>
      <c r="O64" s="5"/>
      <c r="P64" s="5"/>
      <c r="Q64" s="5"/>
      <c r="R64" s="5"/>
      <c r="S64" s="5"/>
      <c r="T64" s="5"/>
      <c r="U64" s="5"/>
      <c r="V64" s="5"/>
      <c r="W64" s="5"/>
      <c r="X64" s="5"/>
      <c r="Y64" s="5"/>
      <c r="Z64" s="5"/>
    </row>
    <row r="65" spans="1:26" ht="15.6" x14ac:dyDescent="0.3">
      <c r="A65" s="18" t="s">
        <v>5</v>
      </c>
      <c r="B65" s="24" t="s">
        <v>70</v>
      </c>
      <c r="C65" s="2" t="str">
        <f ca="1">IFERROR(__xludf.DUMMYFUNCTION("GOOGLETRANSLATE(B65, ""bn"", ""en"")"),"In September 2015, a religious group imposed taxes on minorities, burning houses for non-payment, killing 26 people.")</f>
        <v>In September 2015, a religious group imposed taxes on minorities, burning houses for non-payment, killing 26 people.</v>
      </c>
      <c r="D65" s="5"/>
      <c r="E65" s="5"/>
      <c r="F65" s="5"/>
      <c r="G65" s="5"/>
      <c r="H65" s="5"/>
      <c r="I65" s="5"/>
      <c r="J65" s="5"/>
      <c r="K65" s="5"/>
      <c r="L65" s="5"/>
      <c r="M65" s="5"/>
      <c r="N65" s="5"/>
      <c r="O65" s="5"/>
      <c r="P65" s="5"/>
      <c r="Q65" s="5"/>
      <c r="R65" s="5"/>
      <c r="S65" s="5"/>
      <c r="T65" s="5"/>
      <c r="U65" s="5"/>
      <c r="V65" s="5"/>
      <c r="W65" s="5"/>
      <c r="X65" s="5"/>
      <c r="Y65" s="5"/>
      <c r="Z65" s="5"/>
    </row>
    <row r="66" spans="1:26" ht="15.6" x14ac:dyDescent="0.3">
      <c r="A66" s="18" t="s">
        <v>3</v>
      </c>
      <c r="B66" s="25" t="s">
        <v>71</v>
      </c>
      <c r="C66" s="2" t="str">
        <f ca="1">IFERROR(__xludf.DUMMYFUNCTION("GOOGLETRANSLATE(B66, ""bn"", ""en"")"),"Following Allah's guidance brings peace and tranquility in life, and we get Allah's help to keep us on the right path.")</f>
        <v>Following Allah's guidance brings peace and tranquility in life, and we get Allah's help to keep us on the right path.</v>
      </c>
      <c r="D66" s="5"/>
      <c r="E66" s="5"/>
      <c r="F66" s="5"/>
      <c r="G66" s="5"/>
      <c r="H66" s="5"/>
      <c r="I66" s="5"/>
      <c r="J66" s="5"/>
      <c r="K66" s="5"/>
      <c r="L66" s="5"/>
      <c r="M66" s="5"/>
      <c r="N66" s="5"/>
      <c r="O66" s="5"/>
      <c r="P66" s="5"/>
      <c r="Q66" s="5"/>
      <c r="R66" s="5"/>
      <c r="S66" s="5"/>
      <c r="T66" s="5"/>
      <c r="U66" s="5"/>
      <c r="V66" s="5"/>
      <c r="W66" s="5"/>
      <c r="X66" s="5"/>
      <c r="Y66" s="5"/>
      <c r="Z66" s="5"/>
    </row>
    <row r="67" spans="1:26" ht="15.6" x14ac:dyDescent="0.3">
      <c r="A67" s="19" t="s">
        <v>8</v>
      </c>
      <c r="B67" s="26" t="s">
        <v>72</v>
      </c>
      <c r="C67" s="2" t="str">
        <f ca="1">IFERROR(__xludf.DUMMYFUNCTION("GOOGLETRANSLATE(B67, ""bn"", ""en"")"),"A number of extremist Muslims in Mai announced an attack in which 88 houses and 7/8 family shrines were vandalized and furniture destroyed.")</f>
        <v>A number of extremist Muslims in Mai announced an attack in which 88 houses and 7/8 family shrines were vandalized and furniture destroyed.</v>
      </c>
      <c r="D67" s="5"/>
      <c r="E67" s="5"/>
      <c r="F67" s="5"/>
      <c r="G67" s="5"/>
      <c r="H67" s="5"/>
      <c r="I67" s="5"/>
      <c r="J67" s="5"/>
      <c r="K67" s="5"/>
      <c r="L67" s="5"/>
      <c r="M67" s="5"/>
      <c r="N67" s="5"/>
      <c r="O67" s="5"/>
      <c r="P67" s="5"/>
      <c r="Q67" s="5"/>
      <c r="R67" s="5"/>
      <c r="S67" s="5"/>
      <c r="T67" s="5"/>
      <c r="U67" s="5"/>
      <c r="V67" s="5"/>
      <c r="W67" s="5"/>
      <c r="X67" s="5"/>
      <c r="Y67" s="5"/>
      <c r="Z67" s="5"/>
    </row>
    <row r="68" spans="1:26" ht="15.6" x14ac:dyDescent="0.3">
      <c r="A68" s="18" t="s">
        <v>3</v>
      </c>
      <c r="B68" s="25" t="s">
        <v>73</v>
      </c>
      <c r="C68" s="2" t="str">
        <f ca="1">IFERROR(__xludf.DUMMYFUNCTION("GOOGLETRANSLATE(B68, ""bn"", ""en"")"),"Apart from the God-given or heavenly religions, many man-made religions have emerged on earth. In the evolution of time, which have played an important role in the welfare of society and humanity.")</f>
        <v>Apart from the God-given or heavenly religions, many man-made religions have emerged on earth. In the evolution of time, which have played an important role in the welfare of society and humanity.</v>
      </c>
      <c r="D68" s="5"/>
      <c r="E68" s="5"/>
      <c r="F68" s="5"/>
      <c r="G68" s="5"/>
      <c r="H68" s="5"/>
      <c r="I68" s="5"/>
      <c r="J68" s="5"/>
      <c r="K68" s="5"/>
      <c r="L68" s="5"/>
      <c r="M68" s="5"/>
      <c r="N68" s="5"/>
      <c r="O68" s="5"/>
      <c r="P68" s="5"/>
      <c r="Q68" s="5"/>
      <c r="R68" s="5"/>
      <c r="S68" s="5"/>
      <c r="T68" s="5"/>
      <c r="U68" s="5"/>
      <c r="V68" s="5"/>
      <c r="W68" s="5"/>
      <c r="X68" s="5"/>
      <c r="Y68" s="5"/>
      <c r="Z68" s="5"/>
    </row>
    <row r="69" spans="1:26" ht="15.6" x14ac:dyDescent="0.3">
      <c r="A69" s="18" t="s">
        <v>8</v>
      </c>
      <c r="B69" s="25" t="s">
        <v>74</v>
      </c>
      <c r="C69" s="2" t="str">
        <f ca="1">IFERROR(__xludf.DUMMYFUNCTION("GOOGLETRANSLATE(B69, ""bn"", ""en"")"),"On the Ashtami of Durga Puja in Comilla, a Quran was placed in a puja mandap and attacked on charges of blasphemy, leading to violence such as hurting religious sentiments and vandalizing the mandap.")</f>
        <v>On the Ashtami of Durga Puja in Comilla, a Quran was placed in a puja mandap and attacked on charges of blasphemy, leading to violence such as hurting religious sentiments and vandalizing the mandap.</v>
      </c>
      <c r="D69" s="5"/>
      <c r="E69" s="5"/>
      <c r="F69" s="5"/>
      <c r="G69" s="5"/>
      <c r="H69" s="5"/>
      <c r="I69" s="5"/>
      <c r="J69" s="5"/>
      <c r="K69" s="5"/>
      <c r="L69" s="5"/>
      <c r="M69" s="5"/>
      <c r="N69" s="5"/>
      <c r="O69" s="5"/>
      <c r="P69" s="5"/>
      <c r="Q69" s="5"/>
      <c r="R69" s="5"/>
      <c r="S69" s="5"/>
      <c r="T69" s="5"/>
      <c r="U69" s="5"/>
      <c r="V69" s="5"/>
      <c r="W69" s="5"/>
      <c r="X69" s="5"/>
      <c r="Y69" s="5"/>
      <c r="Z69" s="5"/>
    </row>
    <row r="70" spans="1:26" ht="15.6" x14ac:dyDescent="0.3">
      <c r="A70" s="18" t="s">
        <v>8</v>
      </c>
      <c r="B70" s="25" t="s">
        <v>75</v>
      </c>
      <c r="C70" s="2" t="str">
        <f ca="1">IFERROR(__xludf.DUMMYFUNCTION("GOOGLETRANSLATE(B70, ""bn"", ""en"")"),"Muslim shops and mosques were attacked by Buddhist nationalists.")</f>
        <v>Muslim shops and mosques were attacked by Buddhist nationalists.</v>
      </c>
      <c r="D70" s="5"/>
      <c r="E70" s="5"/>
      <c r="F70" s="5"/>
      <c r="G70" s="5"/>
      <c r="H70" s="5"/>
      <c r="I70" s="5"/>
      <c r="J70" s="5"/>
      <c r="K70" s="5"/>
      <c r="L70" s="5"/>
      <c r="M70" s="5"/>
      <c r="N70" s="5"/>
      <c r="O70" s="5"/>
      <c r="P70" s="5"/>
      <c r="Q70" s="5"/>
      <c r="R70" s="5"/>
      <c r="S70" s="5"/>
      <c r="T70" s="5"/>
      <c r="U70" s="5"/>
      <c r="V70" s="5"/>
      <c r="W70" s="5"/>
      <c r="X70" s="5"/>
      <c r="Y70" s="5"/>
      <c r="Z70" s="5"/>
    </row>
    <row r="71" spans="1:26" ht="15.6" x14ac:dyDescent="0.3">
      <c r="A71" s="18" t="s">
        <v>3</v>
      </c>
      <c r="B71" s="25" t="s">
        <v>76</v>
      </c>
      <c r="C71" s="2" t="str">
        <f ca="1">IFERROR(__xludf.DUMMYFUNCTION("GOOGLETRANSLATE(B71, ""bn"", ""en"")"),"Since I am a follower of Islam, many of the followers of other religions in this group will not agree if I explain it in the light of my religion.")</f>
        <v>Since I am a follower of Islam, many of the followers of other religions in this group will not agree if I explain it in the light of my religion.</v>
      </c>
      <c r="D71" s="2"/>
      <c r="E71" s="2"/>
      <c r="F71" s="2"/>
      <c r="G71" s="2"/>
      <c r="H71" s="5"/>
      <c r="I71" s="5"/>
      <c r="J71" s="5"/>
      <c r="K71" s="5"/>
      <c r="L71" s="5"/>
      <c r="M71" s="5"/>
      <c r="N71" s="5"/>
      <c r="O71" s="5"/>
      <c r="P71" s="5"/>
      <c r="Q71" s="5"/>
      <c r="R71" s="5"/>
      <c r="S71" s="5"/>
      <c r="T71" s="5"/>
      <c r="U71" s="5"/>
      <c r="V71" s="5"/>
      <c r="W71" s="5"/>
      <c r="X71" s="5"/>
      <c r="Y71" s="5"/>
      <c r="Z71" s="5"/>
    </row>
    <row r="72" spans="1:26" ht="15.6" x14ac:dyDescent="0.3">
      <c r="A72" s="18" t="s">
        <v>23</v>
      </c>
      <c r="B72" s="25" t="s">
        <v>77</v>
      </c>
      <c r="C72" s="2" t="str">
        <f ca="1">IFERROR(__xludf.DUMMYFUNCTION("GOOGLETRANSLATE(B72, ""bn"", ""en"")"),"According to the general secretary of the Lalmonirhat Puja Utyapan Parishad, only 4 to 5 percent Hindus could exercise their right to vote. Hundreds of Hindu families from Shafinagar and Senpara villages; After the election, Jamaat-e-Islam and Islami Chha"&amp;"tra Shibir received threats.")</f>
        <v>According to the general secretary of the Lalmonirhat Puja Utyapan Parishad, only 4 to 5 percent Hindus could exercise their right to vote. Hundreds of Hindu families from Shafinagar and Senpara villages; After the election, Jamaat-e-Islam and Islami Chhatra Shibir received threats.</v>
      </c>
      <c r="D72" s="5"/>
      <c r="E72" s="5"/>
      <c r="F72" s="5"/>
      <c r="G72" s="5"/>
      <c r="H72" s="5"/>
      <c r="I72" s="5"/>
      <c r="J72" s="5"/>
      <c r="K72" s="5"/>
      <c r="L72" s="5"/>
      <c r="M72" s="5"/>
      <c r="N72" s="5"/>
      <c r="O72" s="5"/>
      <c r="P72" s="5"/>
      <c r="Q72" s="5"/>
      <c r="R72" s="5"/>
      <c r="S72" s="5"/>
      <c r="T72" s="5"/>
      <c r="U72" s="5"/>
      <c r="V72" s="5"/>
      <c r="W72" s="5"/>
      <c r="X72" s="5"/>
      <c r="Y72" s="5"/>
      <c r="Z72" s="5"/>
    </row>
    <row r="73" spans="1:26" ht="15.6" x14ac:dyDescent="0.3">
      <c r="A73" s="18" t="s">
        <v>3</v>
      </c>
      <c r="B73" s="25" t="s">
        <v>78</v>
      </c>
      <c r="C73" s="2" t="str">
        <f ca="1">IFERROR(__xludf.DUMMYFUNCTION("GOOGLETRANSLATE(B73, ""bn"", ""en"")"),"I really appreciated because they did not engage in haram acts, may Allah guide us all to the right path.")</f>
        <v>I really appreciated because they did not engage in haram acts, may Allah guide us all to the right path.</v>
      </c>
      <c r="D73" s="5"/>
      <c r="E73" s="5"/>
      <c r="F73" s="5"/>
      <c r="G73" s="5"/>
      <c r="H73" s="5"/>
      <c r="I73" s="5"/>
      <c r="J73" s="5"/>
      <c r="K73" s="5"/>
      <c r="L73" s="5"/>
      <c r="M73" s="5"/>
      <c r="N73" s="5"/>
      <c r="O73" s="5"/>
      <c r="P73" s="5"/>
      <c r="Q73" s="5"/>
      <c r="R73" s="5"/>
      <c r="S73" s="5"/>
      <c r="T73" s="5"/>
      <c r="U73" s="5"/>
      <c r="V73" s="5"/>
      <c r="W73" s="5"/>
      <c r="X73" s="5"/>
      <c r="Y73" s="5"/>
      <c r="Z73" s="5"/>
    </row>
    <row r="74" spans="1:26" ht="15.6" x14ac:dyDescent="0.3">
      <c r="A74" s="18" t="s">
        <v>3</v>
      </c>
      <c r="B74" s="24" t="s">
        <v>79</v>
      </c>
      <c r="C74" s="2" t="str">
        <f ca="1">IFERROR(__xludf.DUMMYFUNCTION("GOOGLETRANSLATE(B74, ""bn"", ""en"")"),"If we respect our own religion as well as other religions, then there will be peace in the society.")</f>
        <v>If we respect our own religion as well as other religions, then there will be peace in the society.</v>
      </c>
      <c r="D74" s="5"/>
      <c r="E74" s="5"/>
      <c r="F74" s="5"/>
      <c r="G74" s="5"/>
      <c r="H74" s="5"/>
      <c r="I74" s="5"/>
      <c r="J74" s="5"/>
      <c r="K74" s="5"/>
      <c r="L74" s="5"/>
      <c r="M74" s="5"/>
      <c r="N74" s="5"/>
      <c r="O74" s="5"/>
      <c r="P74" s="5"/>
      <c r="Q74" s="5"/>
      <c r="R74" s="5"/>
      <c r="S74" s="5"/>
      <c r="T74" s="5"/>
      <c r="U74" s="5"/>
      <c r="V74" s="5"/>
      <c r="W74" s="5"/>
      <c r="X74" s="5"/>
      <c r="Y74" s="5"/>
      <c r="Z74" s="5"/>
    </row>
    <row r="75" spans="1:26" ht="15.6" x14ac:dyDescent="0.3">
      <c r="A75" s="18" t="s">
        <v>5</v>
      </c>
      <c r="B75" s="24" t="s">
        <v>80</v>
      </c>
      <c r="C75" s="2" t="str">
        <f ca="1">IFERROR(__xludf.DUMMYFUNCTION("GOOGLETRANSLATE(B75, ""bn"", ""en"")"),"At least 43 people were killed in a planned attack on the minority Muslim community in Narsingdi. The attackers looted their property and burnt their houses.")</f>
        <v>At least 43 people were killed in a planned attack on the minority Muslim community in Narsingdi. The attackers looted their property and burnt their houses.</v>
      </c>
      <c r="D75" s="5"/>
      <c r="E75" s="5"/>
      <c r="F75" s="5"/>
      <c r="G75" s="5"/>
      <c r="H75" s="5"/>
      <c r="I75" s="5"/>
      <c r="J75" s="5"/>
      <c r="K75" s="5"/>
      <c r="L75" s="5"/>
      <c r="M75" s="5"/>
      <c r="N75" s="5"/>
      <c r="O75" s="5"/>
      <c r="P75" s="5"/>
      <c r="Q75" s="5"/>
      <c r="R75" s="5"/>
      <c r="S75" s="5"/>
      <c r="T75" s="5"/>
      <c r="U75" s="5"/>
      <c r="V75" s="5"/>
      <c r="W75" s="5"/>
      <c r="X75" s="5"/>
      <c r="Y75" s="5"/>
      <c r="Z75" s="5"/>
    </row>
    <row r="76" spans="1:26" ht="15.6" x14ac:dyDescent="0.3">
      <c r="A76" s="18" t="s">
        <v>3</v>
      </c>
      <c r="B76" s="25" t="s">
        <v>81</v>
      </c>
      <c r="C76" s="2" t="str">
        <f ca="1">IFERROR(__xludf.DUMMYFUNCTION("GOOGLETRANSLATE(B76, ""bn"", ""en"")"),"The government of Bangladesh has ordered the closure of all religious, political, social and cultural gatherings including wajmahfil and pilgrimages to prevent the spread of coronavirus.")</f>
        <v>The government of Bangladesh has ordered the closure of all religious, political, social and cultural gatherings including wajmahfil and pilgrimages to prevent the spread of coronavirus.</v>
      </c>
      <c r="D76" s="5"/>
      <c r="E76" s="5"/>
      <c r="F76" s="5"/>
      <c r="G76" s="5"/>
      <c r="H76" s="5"/>
      <c r="I76" s="5"/>
      <c r="J76" s="5"/>
      <c r="K76" s="5"/>
      <c r="L76" s="5"/>
      <c r="M76" s="5"/>
      <c r="N76" s="5"/>
      <c r="O76" s="5"/>
      <c r="P76" s="5"/>
      <c r="Q76" s="5"/>
      <c r="R76" s="5"/>
      <c r="S76" s="5"/>
      <c r="T76" s="5"/>
      <c r="U76" s="5"/>
      <c r="V76" s="5"/>
      <c r="W76" s="5"/>
      <c r="X76" s="5"/>
      <c r="Y76" s="5"/>
      <c r="Z76" s="5"/>
    </row>
    <row r="77" spans="1:26" ht="15.6" x14ac:dyDescent="0.3">
      <c r="A77" s="18" t="s">
        <v>5</v>
      </c>
      <c r="B77" s="24" t="s">
        <v>82</v>
      </c>
      <c r="C77" s="2" t="str">
        <f ca="1">IFERROR(__xludf.DUMMYFUNCTION("GOOGLETRANSLATE(B77, ""bn"", ""en"")"),"48 people lost their lives in Jhalkathi clashes due to religious tensions. Police quickly cordoned off the area, with the government urging everyone to remain calm to maintain religious tolerance. Many minority families leave the village to find shelter d"&amp;"ue to lack of security.")</f>
        <v>48 people lost their lives in Jhalkathi clashes due to religious tensions. Police quickly cordoned off the area, with the government urging everyone to remain calm to maintain religious tolerance. Many minority families leave the village to find shelter due to lack of security.</v>
      </c>
      <c r="D77" s="5"/>
      <c r="E77" s="5"/>
      <c r="F77" s="5"/>
      <c r="G77" s="5"/>
      <c r="H77" s="5"/>
      <c r="I77" s="5"/>
      <c r="J77" s="5"/>
      <c r="K77" s="5"/>
      <c r="L77" s="5"/>
      <c r="M77" s="5"/>
      <c r="N77" s="5"/>
      <c r="O77" s="5"/>
      <c r="P77" s="5"/>
      <c r="Q77" s="5"/>
      <c r="R77" s="5"/>
      <c r="S77" s="5"/>
      <c r="T77" s="5"/>
      <c r="U77" s="5"/>
      <c r="V77" s="5"/>
      <c r="W77" s="5"/>
      <c r="X77" s="5"/>
      <c r="Y77" s="5"/>
      <c r="Z77" s="5"/>
    </row>
    <row r="78" spans="1:26" ht="15.6" x14ac:dyDescent="0.3">
      <c r="A78" s="19" t="s">
        <v>8</v>
      </c>
      <c r="B78" s="26" t="s">
        <v>83</v>
      </c>
      <c r="C78" s="2" t="str">
        <f ca="1">IFERROR(__xludf.DUMMYFUNCTION("GOOGLETRANSLATE(B78, ""bn"", ""en"")"),"Bakshiganj Naldanga Raipura Ishwarganj statue vandalized")</f>
        <v>Bakshiganj Naldanga Raipura Ishwarganj statue vandalized</v>
      </c>
      <c r="D78" s="5"/>
      <c r="E78" s="5"/>
      <c r="F78" s="5"/>
      <c r="G78" s="5"/>
      <c r="H78" s="5"/>
      <c r="I78" s="5"/>
      <c r="J78" s="5"/>
      <c r="K78" s="5"/>
      <c r="L78" s="5"/>
      <c r="M78" s="5"/>
      <c r="N78" s="5"/>
      <c r="O78" s="5"/>
      <c r="P78" s="5"/>
      <c r="Q78" s="5"/>
      <c r="R78" s="5"/>
      <c r="S78" s="5"/>
      <c r="T78" s="5"/>
      <c r="U78" s="5"/>
      <c r="V78" s="5"/>
      <c r="W78" s="5"/>
      <c r="X78" s="5"/>
      <c r="Y78" s="5"/>
      <c r="Z78" s="5"/>
    </row>
    <row r="79" spans="1:26" ht="15.6" x14ac:dyDescent="0.3">
      <c r="A79" s="18" t="s">
        <v>8</v>
      </c>
      <c r="B79" s="25" t="s">
        <v>84</v>
      </c>
      <c r="C79" s="2" t="str">
        <f ca="1">IFERROR(__xludf.DUMMYFUNCTION("GOOGLETRANSLATE(B79, ""bn"", ""en"")"),"At the same time, in several areas of old Dhaka, jewelery shops, confectionary stores, hotels and restaurants owned by the Hindu community were attacked and set on fire.")</f>
        <v>At the same time, in several areas of old Dhaka, jewelery shops, confectionary stores, hotels and restaurants owned by the Hindu community were attacked and set on fire.</v>
      </c>
      <c r="D79" s="5"/>
      <c r="E79" s="5"/>
      <c r="F79" s="5"/>
      <c r="G79" s="5"/>
      <c r="H79" s="5"/>
      <c r="I79" s="5"/>
      <c r="J79" s="5"/>
      <c r="K79" s="5"/>
      <c r="L79" s="5"/>
      <c r="M79" s="5"/>
      <c r="N79" s="5"/>
      <c r="O79" s="5"/>
      <c r="P79" s="5"/>
      <c r="Q79" s="5"/>
      <c r="R79" s="5"/>
      <c r="S79" s="5"/>
      <c r="T79" s="5"/>
      <c r="U79" s="5"/>
      <c r="V79" s="5"/>
      <c r="W79" s="5"/>
      <c r="X79" s="5"/>
      <c r="Y79" s="5"/>
      <c r="Z79" s="5"/>
    </row>
    <row r="80" spans="1:26" ht="15.6" x14ac:dyDescent="0.3">
      <c r="A80" s="18" t="s">
        <v>23</v>
      </c>
      <c r="B80" s="24" t="s">
        <v>85</v>
      </c>
      <c r="C80" s="2" t="str">
        <f ca="1">IFERROR(__xludf.DUMMYFUNCTION("GOOGLETRANSLATE(B80, ""bn"", ""en"")"),"Some extremists in the Muslim community consider their religion superior to other religions and look down on other religions.")</f>
        <v>Some extremists in the Muslim community consider their religion superior to other religions and look down on other religions.</v>
      </c>
      <c r="D80" s="5"/>
      <c r="E80" s="5"/>
      <c r="F80" s="5"/>
      <c r="G80" s="5"/>
      <c r="H80" s="5"/>
      <c r="I80" s="5"/>
      <c r="J80" s="5"/>
      <c r="K80" s="5"/>
      <c r="L80" s="5"/>
      <c r="M80" s="5"/>
      <c r="N80" s="5"/>
      <c r="O80" s="5"/>
      <c r="P80" s="5"/>
      <c r="Q80" s="5"/>
      <c r="R80" s="5"/>
      <c r="S80" s="5"/>
      <c r="T80" s="5"/>
      <c r="U80" s="5"/>
      <c r="V80" s="5"/>
      <c r="W80" s="5"/>
      <c r="X80" s="5"/>
      <c r="Y80" s="5"/>
      <c r="Z80" s="5"/>
    </row>
    <row r="81" spans="1:26" ht="15.6" x14ac:dyDescent="0.3">
      <c r="A81" s="19" t="s">
        <v>23</v>
      </c>
      <c r="B81" s="26" t="s">
        <v>86</v>
      </c>
      <c r="C81" s="2" t="str">
        <f ca="1">IFERROR(__xludf.DUMMYFUNCTION("GOOGLETRANSLATE(B81, ""bn"", ""en"")"),"Do not see people among Muslims? Do you understand that the creatures called Muslims are not human beings? Muslims have turned into a lowly animal in your eyes!")</f>
        <v>Do not see people among Muslims? Do you understand that the creatures called Muslims are not human beings? Muslims have turned into a lowly animal in your eyes!</v>
      </c>
      <c r="D81" s="5"/>
      <c r="E81" s="5"/>
      <c r="F81" s="5"/>
      <c r="G81" s="5"/>
      <c r="H81" s="5"/>
      <c r="I81" s="5"/>
      <c r="J81" s="5"/>
      <c r="K81" s="5"/>
      <c r="L81" s="5"/>
      <c r="M81" s="5"/>
      <c r="N81" s="5"/>
      <c r="O81" s="5"/>
      <c r="P81" s="5"/>
      <c r="Q81" s="5"/>
      <c r="R81" s="5"/>
      <c r="S81" s="5"/>
      <c r="T81" s="5"/>
      <c r="U81" s="5"/>
      <c r="V81" s="5"/>
      <c r="W81" s="5"/>
      <c r="X81" s="5"/>
      <c r="Y81" s="5"/>
      <c r="Z81" s="5"/>
    </row>
    <row r="82" spans="1:26" ht="15.6" x14ac:dyDescent="0.3">
      <c r="A82" s="18" t="s">
        <v>5</v>
      </c>
      <c r="B82" s="24" t="s">
        <v>87</v>
      </c>
      <c r="C82" s="2" t="str">
        <f ca="1">IFERROR(__xludf.DUMMYFUNCTION("GOOGLETRANSLATE(B82, ""bn"", ""en"")"),"In November 2017, a Muslim extremist group revoked the citizenship of minority Hindus, leaving 60 destitute and dying of illness.")</f>
        <v>In November 2017, a Muslim extremist group revoked the citizenship of minority Hindus, leaving 60 destitute and dying of illness.</v>
      </c>
      <c r="D82" s="5"/>
      <c r="E82" s="5"/>
      <c r="F82" s="5"/>
      <c r="G82" s="5"/>
      <c r="H82" s="5"/>
      <c r="I82" s="5"/>
      <c r="J82" s="5"/>
      <c r="K82" s="5"/>
      <c r="L82" s="5"/>
      <c r="M82" s="5"/>
      <c r="N82" s="5"/>
      <c r="O82" s="5"/>
      <c r="P82" s="5"/>
      <c r="Q82" s="5"/>
      <c r="R82" s="5"/>
      <c r="S82" s="5"/>
      <c r="T82" s="5"/>
      <c r="U82" s="5"/>
      <c r="V82" s="5"/>
      <c r="W82" s="5"/>
      <c r="X82" s="5"/>
      <c r="Y82" s="5"/>
      <c r="Z82" s="5"/>
    </row>
    <row r="83" spans="1:26" ht="15.6" x14ac:dyDescent="0.3">
      <c r="A83" s="18" t="s">
        <v>23</v>
      </c>
      <c r="B83" s="24" t="s">
        <v>88</v>
      </c>
      <c r="C83" s="2" t="str">
        <f ca="1">IFERROR(__xludf.DUMMYFUNCTION("GOOGLETRANSLATE(B83, ""bn"", ""en"")"),"Muslims are not only conscious of their own religion, they show total contempt for other religions and resort to violence.")</f>
        <v>Muslims are not only conscious of their own religion, they show total contempt for other religions and resort to violence.</v>
      </c>
      <c r="D83" s="5"/>
      <c r="E83" s="5"/>
      <c r="F83" s="5"/>
      <c r="G83" s="5"/>
      <c r="H83" s="5"/>
      <c r="I83" s="5"/>
      <c r="J83" s="5"/>
      <c r="K83" s="5"/>
      <c r="L83" s="5"/>
      <c r="M83" s="5"/>
      <c r="N83" s="5"/>
      <c r="O83" s="5"/>
      <c r="P83" s="5"/>
      <c r="Q83" s="5"/>
      <c r="R83" s="5"/>
      <c r="S83" s="5"/>
      <c r="T83" s="5"/>
      <c r="U83" s="5"/>
      <c r="V83" s="5"/>
      <c r="W83" s="5"/>
      <c r="X83" s="5"/>
      <c r="Y83" s="5"/>
      <c r="Z83" s="5"/>
    </row>
    <row r="84" spans="1:26" ht="15.6" x14ac:dyDescent="0.3">
      <c r="A84" s="18" t="s">
        <v>8</v>
      </c>
      <c r="B84" s="25" t="s">
        <v>89</v>
      </c>
      <c r="C84" s="2" t="str">
        <f ca="1">IFERROR(__xludf.DUMMYFUNCTION("GOOGLETRANSLATE(B84, ""bn"", ""en"")"),"The Comilla riots are clearly a conspiracy designed to disrupt communal harmony.")</f>
        <v>The Comilla riots are clearly a conspiracy designed to disrupt communal harmony.</v>
      </c>
      <c r="D84" s="2"/>
      <c r="E84" s="2"/>
      <c r="F84" s="2"/>
      <c r="G84" s="2"/>
      <c r="H84" s="5"/>
      <c r="I84" s="5"/>
      <c r="J84" s="5"/>
      <c r="K84" s="5"/>
      <c r="L84" s="5"/>
      <c r="M84" s="5"/>
      <c r="N84" s="5"/>
      <c r="O84" s="5"/>
      <c r="P84" s="5"/>
      <c r="Q84" s="5"/>
      <c r="R84" s="5"/>
      <c r="S84" s="5"/>
      <c r="T84" s="5"/>
      <c r="U84" s="5"/>
      <c r="V84" s="5"/>
      <c r="W84" s="5"/>
      <c r="X84" s="5"/>
      <c r="Y84" s="5"/>
      <c r="Z84" s="5"/>
    </row>
    <row r="85" spans="1:26" ht="15.6" x14ac:dyDescent="0.3">
      <c r="A85" s="18" t="s">
        <v>23</v>
      </c>
      <c r="B85" s="25" t="s">
        <v>90</v>
      </c>
      <c r="C85" s="2" t="str">
        <f ca="1">IFERROR(__xludf.DUMMYFUNCTION("GOOGLETRANSLATE(B85, ""bn"", ""en"")"),"O Allah, paralyze the impure hands of those who have permitted the burning of this Holy Quran and those who want to burn it so that no one dares to do so. Amen!")</f>
        <v>O Allah, paralyze the impure hands of those who have permitted the burning of this Holy Quran and those who want to burn it so that no one dares to do so. Amen!</v>
      </c>
      <c r="D85" s="5"/>
      <c r="E85" s="5"/>
      <c r="F85" s="5"/>
      <c r="G85" s="5"/>
      <c r="H85" s="5"/>
      <c r="I85" s="5"/>
      <c r="J85" s="5"/>
      <c r="K85" s="5"/>
      <c r="L85" s="5"/>
      <c r="M85" s="5"/>
      <c r="N85" s="5"/>
      <c r="O85" s="5"/>
      <c r="P85" s="5"/>
      <c r="Q85" s="5"/>
      <c r="R85" s="5"/>
      <c r="S85" s="5"/>
      <c r="T85" s="5"/>
      <c r="U85" s="5"/>
      <c r="V85" s="5"/>
      <c r="W85" s="5"/>
      <c r="X85" s="5"/>
      <c r="Y85" s="5"/>
      <c r="Z85" s="5"/>
    </row>
    <row r="86" spans="1:26" ht="15.6" x14ac:dyDescent="0.3">
      <c r="A86" s="18" t="s">
        <v>23</v>
      </c>
      <c r="B86" s="25" t="s">
        <v>91</v>
      </c>
      <c r="C86" s="2" t="str">
        <f ca="1">IFERROR(__xludf.DUMMYFUNCTION("GOOGLETRANSLATE(B86, ""bn"", ""en"")"),"Some hateful doctrines accuse Muslims of immorality and untruth, such as lack of money, lack of diligence, cunning, sectarianism and unpatriotism.")</f>
        <v>Some hateful doctrines accuse Muslims of immorality and untruth, such as lack of money, lack of diligence, cunning, sectarianism and unpatriotism.</v>
      </c>
      <c r="D86" s="2"/>
      <c r="E86" s="2"/>
      <c r="F86" s="2"/>
      <c r="G86" s="2"/>
      <c r="H86" s="3"/>
      <c r="I86" s="3"/>
      <c r="J86" s="3"/>
      <c r="K86" s="3"/>
      <c r="L86" s="3"/>
      <c r="M86" s="3"/>
      <c r="N86" s="3"/>
      <c r="O86" s="3"/>
      <c r="P86" s="3"/>
      <c r="Q86" s="3"/>
      <c r="R86" s="3"/>
      <c r="S86" s="3"/>
      <c r="T86" s="3"/>
      <c r="U86" s="3"/>
      <c r="V86" s="3"/>
      <c r="W86" s="3"/>
      <c r="X86" s="3"/>
      <c r="Y86" s="3"/>
      <c r="Z86" s="3"/>
    </row>
    <row r="87" spans="1:26" ht="15.6" x14ac:dyDescent="0.3">
      <c r="A87" s="18" t="s">
        <v>23</v>
      </c>
      <c r="B87" s="25" t="s">
        <v>92</v>
      </c>
      <c r="C87" s="2" t="str">
        <f ca="1">IFERROR(__xludf.DUMMYFUNCTION("GOOGLETRANSLATE(B87, ""bn"", ""en"")"),"They don't want justice for desecration of Koran on Facebook, instead they are busy spreading anti-Islamic lies to save the guilty. Surprise!")</f>
        <v>They don't want justice for desecration of Koran on Facebook, instead they are busy spreading anti-Islamic lies to save the guilty. Surprise!</v>
      </c>
      <c r="D87" s="5"/>
      <c r="E87" s="5"/>
      <c r="F87" s="5"/>
      <c r="G87" s="5"/>
      <c r="H87" s="5"/>
      <c r="I87" s="5"/>
      <c r="J87" s="5"/>
      <c r="K87" s="5"/>
      <c r="L87" s="5"/>
      <c r="M87" s="5"/>
      <c r="N87" s="5"/>
      <c r="O87" s="5"/>
      <c r="P87" s="5"/>
      <c r="Q87" s="5"/>
      <c r="R87" s="5"/>
      <c r="S87" s="5"/>
      <c r="T87" s="5"/>
      <c r="U87" s="5"/>
      <c r="V87" s="5"/>
      <c r="W87" s="5"/>
      <c r="X87" s="5"/>
      <c r="Y87" s="5"/>
      <c r="Z87" s="5"/>
    </row>
    <row r="88" spans="1:26" ht="15.6" x14ac:dyDescent="0.3">
      <c r="A88" s="19" t="s">
        <v>3</v>
      </c>
      <c r="B88" s="26" t="s">
        <v>93</v>
      </c>
      <c r="C88" s="2" t="str">
        <f ca="1">IFERROR(__xludf.DUMMYFUNCTION("GOOGLETRANSLATE(B88, ""bn"", ""en"")"),"My religion is the best for me.")</f>
        <v>My religion is the best for me.</v>
      </c>
      <c r="D88" s="5"/>
      <c r="E88" s="5"/>
      <c r="F88" s="5"/>
      <c r="G88" s="5"/>
      <c r="H88" s="5"/>
      <c r="I88" s="5"/>
      <c r="J88" s="5"/>
      <c r="K88" s="5"/>
      <c r="L88" s="5"/>
      <c r="M88" s="5"/>
      <c r="N88" s="5"/>
      <c r="O88" s="5"/>
      <c r="P88" s="5"/>
      <c r="Q88" s="5"/>
      <c r="R88" s="5"/>
      <c r="S88" s="5"/>
      <c r="T88" s="5"/>
      <c r="U88" s="5"/>
      <c r="V88" s="5"/>
      <c r="W88" s="5"/>
      <c r="X88" s="5"/>
      <c r="Y88" s="5"/>
      <c r="Z88" s="5"/>
    </row>
    <row r="89" spans="1:26" ht="15.6" x14ac:dyDescent="0.3">
      <c r="A89" s="18" t="s">
        <v>23</v>
      </c>
      <c r="B89" s="25" t="s">
        <v>94</v>
      </c>
      <c r="C89" s="2" t="str">
        <f ca="1">IFERROR(__xludf.DUMMYFUNCTION("GOOGLETRANSLATE(B89, ""bn"", ""en"")"),"I have always seen that Bengali channels broadcast any kind of communal terror news especially religious riots with more importance.")</f>
        <v>I have always seen that Bengali channels broadcast any kind of communal terror news especially religious riots with more importance.</v>
      </c>
      <c r="D89" s="2"/>
      <c r="E89" s="2"/>
      <c r="F89" s="2"/>
      <c r="G89" s="2"/>
      <c r="H89" s="3"/>
      <c r="I89" s="3"/>
      <c r="J89" s="3"/>
      <c r="K89" s="3"/>
      <c r="L89" s="3"/>
      <c r="M89" s="3"/>
      <c r="N89" s="3"/>
      <c r="O89" s="3"/>
      <c r="P89" s="3"/>
      <c r="Q89" s="3"/>
      <c r="R89" s="3"/>
      <c r="S89" s="3"/>
      <c r="T89" s="3"/>
      <c r="U89" s="3"/>
      <c r="V89" s="3"/>
      <c r="W89" s="3"/>
      <c r="X89" s="3"/>
      <c r="Y89" s="3"/>
      <c r="Z89" s="3"/>
    </row>
    <row r="90" spans="1:26" ht="15.6" x14ac:dyDescent="0.3">
      <c r="A90" s="18" t="s">
        <v>5</v>
      </c>
      <c r="B90" s="24" t="s">
        <v>95</v>
      </c>
      <c r="C90" s="2" t="str">
        <f ca="1">IFERROR(__xludf.DUMMYFUNCTION("GOOGLETRANSLATE(B90, ""bn"", ""en"")"),"28 killed in clash between religious groups in Madaripur; Many were injured.")</f>
        <v>28 killed in clash between religious groups in Madaripur; Many were injured.</v>
      </c>
      <c r="D90" s="5"/>
      <c r="E90" s="5"/>
      <c r="F90" s="5"/>
      <c r="G90" s="5"/>
      <c r="H90" s="5"/>
      <c r="I90" s="5"/>
      <c r="J90" s="5"/>
      <c r="K90" s="5"/>
      <c r="L90" s="5"/>
      <c r="M90" s="5"/>
      <c r="N90" s="5"/>
      <c r="O90" s="5"/>
      <c r="P90" s="5"/>
      <c r="Q90" s="5"/>
      <c r="R90" s="5"/>
      <c r="S90" s="5"/>
      <c r="T90" s="5"/>
      <c r="U90" s="5"/>
      <c r="V90" s="5"/>
      <c r="W90" s="5"/>
      <c r="X90" s="5"/>
      <c r="Y90" s="5"/>
      <c r="Z90" s="5"/>
    </row>
    <row r="91" spans="1:26" ht="15.6" x14ac:dyDescent="0.3">
      <c r="A91" s="19" t="s">
        <v>23</v>
      </c>
      <c r="B91" s="26" t="s">
        <v>96</v>
      </c>
      <c r="C91" s="2" t="str">
        <f ca="1">IFERROR(__xludf.DUMMYFUNCTION("GOOGLETRANSLATE(B91, ""bn"", ""en"")"),"Religion is its own festival. This is a blasphemous sentence. May Allah grant Muslims the right understanding.")</f>
        <v>Religion is its own festival. This is a blasphemous sentence. May Allah grant Muslims the right understanding.</v>
      </c>
      <c r="D91" s="5"/>
      <c r="E91" s="5"/>
      <c r="F91" s="5"/>
      <c r="G91" s="5"/>
      <c r="H91" s="5"/>
      <c r="I91" s="5"/>
      <c r="J91" s="5"/>
      <c r="K91" s="5"/>
      <c r="L91" s="5"/>
      <c r="M91" s="5"/>
      <c r="N91" s="5"/>
      <c r="O91" s="5"/>
      <c r="P91" s="5"/>
      <c r="Q91" s="5"/>
      <c r="R91" s="5"/>
      <c r="S91" s="5"/>
      <c r="T91" s="5"/>
      <c r="U91" s="5"/>
      <c r="V91" s="5"/>
      <c r="W91" s="5"/>
      <c r="X91" s="5"/>
      <c r="Y91" s="5"/>
      <c r="Z91" s="5"/>
    </row>
    <row r="92" spans="1:26" ht="15.6" x14ac:dyDescent="0.3">
      <c r="A92" s="18" t="s">
        <v>23</v>
      </c>
      <c r="B92" s="24" t="s">
        <v>97</v>
      </c>
      <c r="C92" s="2" t="str">
        <f ca="1">IFERROR(__xludf.DUMMYFUNCTION("GOOGLETRANSLATE(B92, ""bn"", ""en"")"),"Although Buddhists are their own peaceful religion, sometimes they create hatred by disparaging other religions from their religious platform.")</f>
        <v>Although Buddhists are their own peaceful religion, sometimes they create hatred by disparaging other religions from their religious platform.</v>
      </c>
      <c r="D92" s="5"/>
      <c r="E92" s="5"/>
      <c r="F92" s="5"/>
      <c r="G92" s="5"/>
      <c r="H92" s="5"/>
      <c r="I92" s="5"/>
      <c r="J92" s="5"/>
      <c r="K92" s="5"/>
      <c r="L92" s="5"/>
      <c r="M92" s="5"/>
      <c r="N92" s="5"/>
      <c r="O92" s="5"/>
      <c r="P92" s="5"/>
      <c r="Q92" s="5"/>
      <c r="R92" s="5"/>
      <c r="S92" s="5"/>
      <c r="T92" s="5"/>
      <c r="U92" s="5"/>
      <c r="V92" s="5"/>
      <c r="W92" s="5"/>
      <c r="X92" s="5"/>
      <c r="Y92" s="5"/>
      <c r="Z92" s="5"/>
    </row>
    <row r="93" spans="1:26" ht="15.6" x14ac:dyDescent="0.3">
      <c r="A93" s="18" t="s">
        <v>3</v>
      </c>
      <c r="B93" s="25" t="s">
        <v>98</v>
      </c>
      <c r="C93" s="2" t="str">
        <f ca="1">IFERROR(__xludf.DUMMYFUNCTION("GOOGLETRANSLATE(B93, ""bn"", ""en"")"),"Hearing these wonderful words of yours, especially the explanation with the Qur'an, the relationship with Allah is getting deeper day by day Alhamdulillah")</f>
        <v>Hearing these wonderful words of yours, especially the explanation with the Qur'an, the relationship with Allah is getting deeper day by day Alhamdulillah</v>
      </c>
      <c r="D93" s="5"/>
      <c r="E93" s="5"/>
      <c r="F93" s="5"/>
      <c r="G93" s="5"/>
      <c r="H93" s="5"/>
      <c r="I93" s="5"/>
      <c r="J93" s="5"/>
      <c r="K93" s="5"/>
      <c r="L93" s="5"/>
      <c r="M93" s="5"/>
      <c r="N93" s="5"/>
      <c r="O93" s="5"/>
      <c r="P93" s="5"/>
      <c r="Q93" s="5"/>
      <c r="R93" s="5"/>
      <c r="S93" s="5"/>
      <c r="T93" s="5"/>
      <c r="U93" s="5"/>
      <c r="V93" s="5"/>
      <c r="W93" s="5"/>
      <c r="X93" s="5"/>
      <c r="Y93" s="5"/>
      <c r="Z93" s="5"/>
    </row>
    <row r="94" spans="1:26" ht="15.6" x14ac:dyDescent="0.3">
      <c r="A94" s="18" t="s">
        <v>23</v>
      </c>
      <c r="B94" s="25" t="s">
        <v>99</v>
      </c>
      <c r="C94" s="2" t="str">
        <f ca="1">IFERROR(__xludf.DUMMYFUNCTION("GOOGLETRANSLATE(B94, ""bn"", ""en"")"),"Satan worshipers are heretical evil beings and should be eradicated from society.")</f>
        <v>Satan worshipers are heretical evil beings and should be eradicated from society.</v>
      </c>
      <c r="D94" s="5"/>
      <c r="E94" s="5"/>
      <c r="F94" s="5"/>
      <c r="G94" s="5"/>
      <c r="H94" s="5"/>
      <c r="I94" s="5"/>
      <c r="J94" s="5"/>
      <c r="K94" s="5"/>
      <c r="L94" s="5"/>
      <c r="M94" s="5"/>
      <c r="N94" s="5"/>
      <c r="O94" s="5"/>
      <c r="P94" s="5"/>
      <c r="Q94" s="5"/>
      <c r="R94" s="5"/>
      <c r="S94" s="5"/>
      <c r="T94" s="5"/>
      <c r="U94" s="5"/>
      <c r="V94" s="5"/>
      <c r="W94" s="5"/>
      <c r="X94" s="5"/>
      <c r="Y94" s="5"/>
      <c r="Z94" s="5"/>
    </row>
    <row r="95" spans="1:26" ht="15.6" x14ac:dyDescent="0.3">
      <c r="A95" s="19" t="s">
        <v>8</v>
      </c>
      <c r="B95" s="26" t="s">
        <v>100</v>
      </c>
      <c r="C95" s="2" t="str">
        <f ca="1">IFERROR(__xludf.DUMMYFUNCTION("GOOGLETRANSLATE(B95, ""bn"", ""en"")"),"The next day, two separate protest rallies were held at Nasirnagar Upazila Sadar by miking in the area. The rally participants attacked Hindu temples and houses in Nasirnagar.")</f>
        <v>The next day, two separate protest rallies were held at Nasirnagar Upazila Sadar by miking in the area. The rally participants attacked Hindu temples and houses in Nasirnagar.</v>
      </c>
      <c r="D95" s="7"/>
      <c r="E95" s="7"/>
      <c r="F95" s="7"/>
      <c r="G95" s="7"/>
      <c r="H95" s="7"/>
      <c r="I95" s="7"/>
      <c r="J95" s="7"/>
      <c r="K95" s="7"/>
      <c r="L95" s="7"/>
      <c r="M95" s="7"/>
      <c r="N95" s="7"/>
      <c r="O95" s="7"/>
      <c r="P95" s="5"/>
      <c r="Q95" s="5"/>
      <c r="R95" s="5"/>
      <c r="S95" s="5"/>
      <c r="T95" s="5"/>
      <c r="U95" s="5"/>
      <c r="V95" s="5"/>
      <c r="W95" s="5"/>
      <c r="X95" s="5"/>
      <c r="Y95" s="5"/>
      <c r="Z95" s="5"/>
    </row>
    <row r="96" spans="1:26" ht="15.6" x14ac:dyDescent="0.3">
      <c r="A96" s="18" t="s">
        <v>5</v>
      </c>
      <c r="B96" s="24" t="s">
        <v>101</v>
      </c>
      <c r="C96" s="2" t="str">
        <f ca="1">IFERROR(__xludf.DUMMYFUNCTION("GOOGLETRANSLATE(B96, ""bn"", ""en"")"),"A tribal community was evicted from the village in opposition to the construction of the temple, their houses were demolished and the head priest was killed. Total killed: 31 people.")</f>
        <v>A tribal community was evicted from the village in opposition to the construction of the temple, their houses were demolished and the head priest was killed. Total killed: 31 people.</v>
      </c>
      <c r="D96" s="5"/>
      <c r="E96" s="5"/>
      <c r="F96" s="5"/>
      <c r="G96" s="5"/>
      <c r="H96" s="5"/>
      <c r="I96" s="5"/>
      <c r="J96" s="5"/>
      <c r="K96" s="5"/>
      <c r="L96" s="5"/>
      <c r="M96" s="5"/>
      <c r="N96" s="5"/>
      <c r="O96" s="5"/>
      <c r="P96" s="5"/>
      <c r="Q96" s="5"/>
      <c r="R96" s="5"/>
      <c r="S96" s="5"/>
      <c r="T96" s="5"/>
      <c r="U96" s="5"/>
      <c r="V96" s="5"/>
      <c r="W96" s="5"/>
      <c r="X96" s="5"/>
      <c r="Y96" s="5"/>
      <c r="Z96" s="5"/>
    </row>
    <row r="97" spans="1:26" ht="15.6" x14ac:dyDescent="0.3">
      <c r="A97" s="18" t="s">
        <v>3</v>
      </c>
      <c r="B97" s="25" t="s">
        <v>102</v>
      </c>
      <c r="C97" s="2" t="str">
        <f ca="1">IFERROR(__xludf.DUMMYFUNCTION("GOOGLETRANSLATE(B97, ""bn"", ""en"")"),"Many people from the Christian community have applied here to collect cards to attend the address the Pope will deliver at Suhrawardy Udyan in Dhaka tomorrow Friday morning. I was talking to Prashant Theotonius. He said that they had been waiting for a lo"&amp;"ng time for the arrival of their Chief Dhamarguru.")</f>
        <v>Many people from the Christian community have applied here to collect cards to attend the address the Pope will deliver at Suhrawardy Udyan in Dhaka tomorrow Friday morning. I was talking to Prashant Theotonius. He said that they had been waiting for a long time for the arrival of their Chief Dhamarguru.</v>
      </c>
      <c r="D97" s="5"/>
      <c r="E97" s="5"/>
      <c r="F97" s="5"/>
      <c r="G97" s="5"/>
      <c r="H97" s="5"/>
      <c r="I97" s="5"/>
      <c r="J97" s="5"/>
      <c r="K97" s="5"/>
      <c r="L97" s="5"/>
      <c r="M97" s="5"/>
      <c r="N97" s="5"/>
      <c r="O97" s="5"/>
      <c r="P97" s="5"/>
      <c r="Q97" s="5"/>
      <c r="R97" s="5"/>
      <c r="S97" s="5"/>
      <c r="T97" s="5"/>
      <c r="U97" s="5"/>
      <c r="V97" s="5"/>
      <c r="W97" s="5"/>
      <c r="X97" s="5"/>
      <c r="Y97" s="5"/>
      <c r="Z97" s="5"/>
    </row>
    <row r="98" spans="1:26" ht="15.6" x14ac:dyDescent="0.3">
      <c r="A98" s="19" t="s">
        <v>23</v>
      </c>
      <c r="B98" s="26" t="s">
        <v>103</v>
      </c>
      <c r="C98" s="2" t="str">
        <f ca="1">IFERROR(__xludf.DUMMYFUNCTION("GOOGLETRANSLATE(B98, ""bn"", ""en"")"),"Burning scriptures can never be freedom of expression. It is important to wake up the Muslims about this. I strongly condemn.")</f>
        <v>Burning scriptures can never be freedom of expression. It is important to wake up the Muslims about this. I strongly condemn.</v>
      </c>
      <c r="D98" s="7"/>
      <c r="E98" s="7"/>
      <c r="F98" s="7"/>
      <c r="G98" s="7"/>
      <c r="H98" s="7"/>
      <c r="I98" s="5"/>
      <c r="J98" s="5"/>
      <c r="K98" s="5"/>
      <c r="L98" s="5"/>
      <c r="M98" s="5"/>
      <c r="N98" s="5"/>
      <c r="O98" s="5"/>
      <c r="P98" s="5"/>
      <c r="Q98" s="5"/>
      <c r="R98" s="5"/>
      <c r="S98" s="5"/>
      <c r="T98" s="5"/>
      <c r="U98" s="5"/>
      <c r="V98" s="5"/>
      <c r="W98" s="5"/>
      <c r="X98" s="5"/>
      <c r="Y98" s="5"/>
      <c r="Z98" s="5"/>
    </row>
    <row r="99" spans="1:26" ht="15.6" x14ac:dyDescent="0.3">
      <c r="A99" s="19" t="s">
        <v>3</v>
      </c>
      <c r="B99" s="26" t="s">
        <v>104</v>
      </c>
      <c r="C99" s="2" t="str">
        <f ca="1">IFERROR(__xludf.DUMMYFUNCTION("GOOGLETRANSLATE(B99, ""bn"", ""en"")"),"If you give a lot of gold in the way of Allah but do not believe in destiny, it will not be accepted. If you die without faith in fate, you will go to hell.")</f>
        <v>If you give a lot of gold in the way of Allah but do not believe in destiny, it will not be accepted. If you die without faith in fate, you will go to hell.</v>
      </c>
      <c r="D99" s="7"/>
      <c r="E99" s="7"/>
      <c r="F99" s="7"/>
      <c r="G99" s="7"/>
      <c r="H99" s="7"/>
      <c r="I99" s="7"/>
      <c r="J99" s="5"/>
      <c r="K99" s="5"/>
      <c r="L99" s="5"/>
      <c r="M99" s="5"/>
      <c r="N99" s="5"/>
      <c r="O99" s="5"/>
      <c r="P99" s="5"/>
      <c r="Q99" s="5"/>
      <c r="R99" s="5"/>
      <c r="S99" s="5"/>
      <c r="T99" s="5"/>
      <c r="U99" s="5"/>
      <c r="V99" s="5"/>
      <c r="W99" s="5"/>
      <c r="X99" s="5"/>
      <c r="Y99" s="5"/>
      <c r="Z99" s="5"/>
    </row>
    <row r="100" spans="1:26" ht="15.6" x14ac:dyDescent="0.3">
      <c r="A100" s="18" t="s">
        <v>5</v>
      </c>
      <c r="B100" s="26" t="s">
        <v>105</v>
      </c>
      <c r="C100" s="2" t="str">
        <f ca="1">IFERROR(__xludf.DUMMYFUNCTION("GOOGLETRANSLATE(B100, ""bn"", ""en"")"),"In 1946, Muslims were brutally tortured in communal riots. Thousands of people lost their lives in the violent massacre, many were forced to commit suicide as they were unable to defend themselves.")</f>
        <v>In 1946, Muslims were brutally tortured in communal riots. Thousands of people lost their lives in the violent massacre, many were forced to commit suicide as they were unable to defend themselves.</v>
      </c>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6" x14ac:dyDescent="0.3">
      <c r="A101" s="18" t="s">
        <v>23</v>
      </c>
      <c r="B101" s="24" t="s">
        <v>106</v>
      </c>
      <c r="C101" s="2" t="str">
        <f ca="1">IFERROR(__xludf.DUMMYFUNCTION("GOOGLETRANSLATE(B101, ""bn"", ""en"")"),"In Chandpur, offensive pictures were painted on the walls of the Muslim religious education center and Quranic verses were distorted.")</f>
        <v>In Chandpur, offensive pictures were painted on the walls of the Muslim religious education center and Quranic verses were distorted.</v>
      </c>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6" x14ac:dyDescent="0.3">
      <c r="A102" s="19" t="s">
        <v>3</v>
      </c>
      <c r="B102" s="26" t="s">
        <v>107</v>
      </c>
      <c r="C102" s="2" t="str">
        <f ca="1">IFERROR(__xludf.DUMMYFUNCTION("GOOGLETRANSLATE(B102, ""bn"", ""en"")"),"A third party may be conspiring to create discord. Just as no Muslim would want to keep the Vedas in the mosque, no Hindu would want to keep the Quran at the feet of his Lord. Since this is a sensitive religious issue, let it be properly investigated. Car"&amp;"e must be taken to ensure that third parties do not profit by creating religious anarchy.")</f>
        <v>A third party may be conspiring to create discord. Just as no Muslim would want to keep the Vedas in the mosque, no Hindu would want to keep the Quran at the feet of his Lord. Since this is a sensitive religious issue, let it be properly investigated. Care must be taken to ensure that third parties do not profit by creating religious anarchy.</v>
      </c>
      <c r="D102" s="7"/>
      <c r="E102" s="7"/>
      <c r="F102" s="7"/>
      <c r="G102" s="7"/>
      <c r="H102" s="7"/>
      <c r="I102" s="7"/>
      <c r="J102" s="7"/>
      <c r="K102" s="7"/>
      <c r="L102" s="7"/>
      <c r="M102" s="7"/>
      <c r="N102" s="7"/>
      <c r="O102" s="7"/>
      <c r="P102" s="5"/>
      <c r="Q102" s="5"/>
      <c r="R102" s="5"/>
      <c r="S102" s="5"/>
      <c r="T102" s="5"/>
      <c r="U102" s="5"/>
      <c r="V102" s="5"/>
      <c r="W102" s="5"/>
      <c r="X102" s="5"/>
      <c r="Y102" s="5"/>
      <c r="Z102" s="5"/>
    </row>
    <row r="103" spans="1:26" ht="15.6" x14ac:dyDescent="0.3">
      <c r="A103" s="18" t="s">
        <v>3</v>
      </c>
      <c r="B103" s="25" t="s">
        <v>108</v>
      </c>
      <c r="C103" s="2" t="str">
        <f ca="1">IFERROR(__xludf.DUMMYFUNCTION("GOOGLETRANSLATE(B103, ""bn"", ""en"")"),"I pray for this person from the heart. May God help him. Heartfelt dua for you Kakku and love is endless")</f>
        <v>I pray for this person from the heart. May God help him. Heartfelt dua for you Kakku and love is endless</v>
      </c>
      <c r="D103" s="2"/>
      <c r="E103" s="2"/>
      <c r="F103" s="2"/>
      <c r="G103" s="2"/>
      <c r="H103" s="5"/>
      <c r="I103" s="5"/>
      <c r="J103" s="5"/>
      <c r="K103" s="5"/>
      <c r="L103" s="5"/>
      <c r="M103" s="5"/>
      <c r="N103" s="5"/>
      <c r="O103" s="5"/>
      <c r="P103" s="5"/>
      <c r="Q103" s="5"/>
      <c r="R103" s="5"/>
      <c r="S103" s="5"/>
      <c r="T103" s="5"/>
      <c r="U103" s="5"/>
      <c r="V103" s="5"/>
      <c r="W103" s="5"/>
      <c r="X103" s="5"/>
      <c r="Y103" s="5"/>
      <c r="Z103" s="5"/>
    </row>
    <row r="104" spans="1:26" ht="15.6" x14ac:dyDescent="0.3">
      <c r="A104" s="18" t="s">
        <v>23</v>
      </c>
      <c r="B104" s="25" t="s">
        <v>109</v>
      </c>
      <c r="C104" s="2" t="str">
        <f ca="1">IFERROR(__xludf.DUMMYFUNCTION("GOOGLETRANSLATE(B104, ""bn"", ""en"")"),"A general diary has been filed against the accused teacher at the police station on Monday and preparations are underway to file a case for hurting religious sentiments.")</f>
        <v>A general diary has been filed against the accused teacher at the police station on Monday and preparations are underway to file a case for hurting religious sentiments.</v>
      </c>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6" x14ac:dyDescent="0.3">
      <c r="A105" s="18" t="s">
        <v>5</v>
      </c>
      <c r="B105" s="24" t="s">
        <v>110</v>
      </c>
      <c r="C105" s="2" t="str">
        <f ca="1">IFERROR(__xludf.DUMMYFUNCTION("GOOGLETRANSLATE(B105, ""bn"", ""en"")"),"28 people lost their lives in Gopalganj religious group violence against minorities.")</f>
        <v>28 people lost their lives in Gopalganj religious group violence against minorities.</v>
      </c>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6" x14ac:dyDescent="0.3">
      <c r="A106" s="18" t="s">
        <v>8</v>
      </c>
      <c r="B106" s="24" t="s">
        <v>111</v>
      </c>
      <c r="C106" s="2" t="str">
        <f ca="1">IFERROR(__xludf.DUMMYFUNCTION("GOOGLETRANSLATE(B106, ""bn"", ""en"")"),"An attempt was made to stop the Fajr Azan by cutting the sound system of the mosque in Feni.")</f>
        <v>An attempt was made to stop the Fajr Azan by cutting the sound system of the mosque in Feni.</v>
      </c>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6" x14ac:dyDescent="0.3">
      <c r="A107" s="19" t="s">
        <v>8</v>
      </c>
      <c r="B107" s="26" t="s">
        <v>112</v>
      </c>
      <c r="C107" s="2" t="str">
        <f ca="1">IFERROR(__xludf.DUMMYFUNCTION("GOOGLETRANSLATE(B107, ""bn"", ""en"")"),"In Naogaon, Hindu families were besieged by local fundamentalist groups to force them to apostatize.")</f>
        <v>In Naogaon, Hindu families were besieged by local fundamentalist groups to force them to apostatize.</v>
      </c>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6" x14ac:dyDescent="0.3">
      <c r="A108" s="19" t="s">
        <v>8</v>
      </c>
      <c r="B108" s="26" t="s">
        <v>113</v>
      </c>
      <c r="C108" s="2" t="str">
        <f ca="1">IFERROR(__xludf.DUMMYFUNCTION("GOOGLETRANSLATE(B108, ""bn"", ""en"")"),"Unidentified miscreants threw clay at the mandap set up on the occasion of Durga Puja of the Hindu community in Pabna in the dark of night.")</f>
        <v>Unidentified miscreants threw clay at the mandap set up on the occasion of Durga Puja of the Hindu community in Pabna in the dark of night.</v>
      </c>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6" x14ac:dyDescent="0.3">
      <c r="A109" s="18" t="s">
        <v>5</v>
      </c>
      <c r="B109" s="24" t="s">
        <v>114</v>
      </c>
      <c r="C109" s="2" t="str">
        <f ca="1">IFERROR(__xludf.DUMMYFUNCTION("GOOGLETRANSLATE(B109, ""bn"", ""en"")"),"At least 35 people were killed in Hindu-Muslim riots in Pabna. Mosques and temples were burnt.")</f>
        <v>At least 35 people were killed in Hindu-Muslim riots in Pabna. Mosques and temples were burnt.</v>
      </c>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6" x14ac:dyDescent="0.3">
      <c r="A110" s="18" t="s">
        <v>5</v>
      </c>
      <c r="B110" s="24" t="s">
        <v>115</v>
      </c>
      <c r="C110" s="2" t="str">
        <f ca="1">IFERROR(__xludf.DUMMYFUNCTION("GOOGLETRANSLATE(B110, ""bn"", ""en"")"),"A long-standing conflict between the Hindu and Muslim communities in Naogaon finally erupted into violent riots. 33 people were killed and many injured in the clash. Army was deployed to calm the situation.")</f>
        <v>A long-standing conflict between the Hindu and Muslim communities in Naogaon finally erupted into violent riots. 33 people were killed and many injured in the clash. Army was deployed to calm the situation.</v>
      </c>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6" x14ac:dyDescent="0.3">
      <c r="A111" s="18" t="s">
        <v>5</v>
      </c>
      <c r="B111" s="24" t="s">
        <v>116</v>
      </c>
      <c r="C111" s="2" t="str">
        <f ca="1">IFERROR(__xludf.DUMMYFUNCTION("GOOGLETRANSLATE(B111, ""bn"", ""en"")"),"In March 2019, a religious group imposed taxes on minorities; If they cannot pay, they burn the house; 25 people were killed.")</f>
        <v>In March 2019, a religious group imposed taxes on minorities; If they cannot pay, they burn the house; 25 people were killed.</v>
      </c>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6" x14ac:dyDescent="0.3">
      <c r="A112" s="18" t="s">
        <v>5</v>
      </c>
      <c r="B112" s="24" t="s">
        <v>117</v>
      </c>
      <c r="C112" s="2" t="str">
        <f ca="1">IFERROR(__xludf.DUMMYFUNCTION("GOOGLETRANSLATE(B112, ""bn"", ""en"")"),"A religious teacher sexually assaults female students, threatening punishment in the name of religion to keep them silent; 19 people lost their lives in the protest clashes.")</f>
        <v>A religious teacher sexually assaults female students, threatening punishment in the name of religion to keep them silent; 19 people lost their lives in the protest clashes.</v>
      </c>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6" x14ac:dyDescent="0.3">
      <c r="A113" s="18" t="s">
        <v>3</v>
      </c>
      <c r="B113" s="25" t="s">
        <v>118</v>
      </c>
      <c r="C113" s="2" t="str">
        <f ca="1">IFERROR(__xludf.DUMMYFUNCTION("GOOGLETRANSLATE(B113, ""bn"", ""en"")"),"All religions should have deep respect and reverence, as each religion has its own ancient traditions and core values.")</f>
        <v>All religions should have deep respect and reverence, as each religion has its own ancient traditions and core values.</v>
      </c>
      <c r="D113" s="2"/>
      <c r="E113" s="2"/>
      <c r="F113" s="2"/>
      <c r="G113" s="2"/>
      <c r="H113" s="5"/>
      <c r="I113" s="5"/>
      <c r="J113" s="5"/>
      <c r="K113" s="5"/>
      <c r="L113" s="5"/>
      <c r="M113" s="5"/>
      <c r="N113" s="5"/>
      <c r="O113" s="5"/>
      <c r="P113" s="5"/>
      <c r="Q113" s="5"/>
      <c r="R113" s="5"/>
      <c r="S113" s="5"/>
      <c r="T113" s="5"/>
      <c r="U113" s="5"/>
      <c r="V113" s="5"/>
      <c r="W113" s="5"/>
      <c r="X113" s="5"/>
      <c r="Y113" s="5"/>
      <c r="Z113" s="5"/>
    </row>
    <row r="114" spans="1:26" ht="15.6" x14ac:dyDescent="0.3">
      <c r="A114" s="19" t="s">
        <v>23</v>
      </c>
      <c r="B114" s="26" t="s">
        <v>119</v>
      </c>
      <c r="C114" s="2" t="str">
        <f ca="1">IFERROR(__xludf.DUMMYFUNCTION("GOOGLETRANSLATE(B114, ""bn"", ""en"")"),"Even on the instructions of the Prime Minister, this Awami government is always sitting silently by instigating communally. They can take advantage if Hindu Muslims riot.")</f>
        <v>Even on the instructions of the Prime Minister, this Awami government is always sitting silently by instigating communally. They can take advantage if Hindu Muslims riot.</v>
      </c>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6" x14ac:dyDescent="0.3">
      <c r="A115" s="19" t="s">
        <v>3</v>
      </c>
      <c r="B115" s="26" t="s">
        <v>120</v>
      </c>
      <c r="C115" s="2" t="str">
        <f ca="1">IFERROR(__xludf.DUMMYFUNCTION("GOOGLETRANSLATE(B115, ""bn"", ""en"")"),"After the Gupta Empire, a spiritual and philosophical fusion of religions developed in Bangladesh, influenced by Buddhism.")</f>
        <v>After the Gupta Empire, a spiritual and philosophical fusion of religions developed in Bangladesh, influenced by Buddhism.</v>
      </c>
      <c r="D115" s="7"/>
      <c r="E115" s="7"/>
      <c r="F115" s="7"/>
      <c r="G115" s="7"/>
      <c r="H115" s="5"/>
      <c r="I115" s="5"/>
      <c r="J115" s="5"/>
      <c r="K115" s="5"/>
      <c r="L115" s="5"/>
      <c r="M115" s="5"/>
      <c r="N115" s="5"/>
      <c r="O115" s="5"/>
      <c r="P115" s="5"/>
      <c r="Q115" s="5"/>
      <c r="R115" s="5"/>
      <c r="S115" s="5"/>
      <c r="T115" s="5"/>
      <c r="U115" s="5"/>
      <c r="V115" s="5"/>
      <c r="W115" s="5"/>
      <c r="X115" s="5"/>
      <c r="Y115" s="5"/>
      <c r="Z115" s="5"/>
    </row>
    <row r="116" spans="1:26" ht="15.6" x14ac:dyDescent="0.3">
      <c r="A116" s="19" t="s">
        <v>8</v>
      </c>
      <c r="B116" s="26" t="s">
        <v>121</v>
      </c>
      <c r="C116" s="2" t="str">
        <f ca="1">IFERROR(__xludf.DUMMYFUNCTION("GOOGLETRANSLATE(B116, ""bn"", ""en"")"),"Rumors are spread in Noakhali that Hindu and Sikh communities are joining arms, which increases fear and apprehension among people.")</f>
        <v>Rumors are spread in Noakhali that Hindu and Sikh communities are joining arms, which increases fear and apprehension among people.</v>
      </c>
      <c r="D116" s="7"/>
      <c r="E116" s="7"/>
      <c r="F116" s="7"/>
      <c r="G116" s="7"/>
      <c r="H116" s="5"/>
      <c r="I116" s="5"/>
      <c r="J116" s="5"/>
      <c r="K116" s="5"/>
      <c r="L116" s="5"/>
      <c r="M116" s="5"/>
      <c r="N116" s="5"/>
      <c r="O116" s="5"/>
      <c r="P116" s="5"/>
      <c r="Q116" s="5"/>
      <c r="R116" s="5"/>
      <c r="S116" s="5"/>
      <c r="T116" s="5"/>
      <c r="U116" s="5"/>
      <c r="V116" s="5"/>
      <c r="W116" s="5"/>
      <c r="X116" s="5"/>
      <c r="Y116" s="5"/>
      <c r="Z116" s="5"/>
    </row>
    <row r="117" spans="1:26" ht="15.6" x14ac:dyDescent="0.3">
      <c r="A117" s="18" t="s">
        <v>3</v>
      </c>
      <c r="B117" s="25" t="s">
        <v>122</v>
      </c>
      <c r="C117" s="2" t="str">
        <f ca="1">IFERROR(__xludf.DUMMYFUNCTION("GOOGLETRANSLATE(B117, ""bn"", ""en"")"),"Renowned actor Praveer Mitra voluntarily converted to Islam at this old age. Many people are happy with this news.")</f>
        <v>Renowned actor Praveer Mitra voluntarily converted to Islam at this old age. Many people are happy with this news.</v>
      </c>
      <c r="D117" s="2"/>
      <c r="E117" s="2"/>
      <c r="F117" s="2"/>
      <c r="G117" s="2"/>
      <c r="H117" s="5"/>
      <c r="I117" s="5"/>
      <c r="J117" s="5"/>
      <c r="K117" s="5"/>
      <c r="L117" s="5"/>
      <c r="M117" s="5"/>
      <c r="N117" s="5"/>
      <c r="O117" s="5"/>
      <c r="P117" s="5"/>
      <c r="Q117" s="5"/>
      <c r="R117" s="5"/>
      <c r="S117" s="5"/>
      <c r="T117" s="5"/>
      <c r="U117" s="5"/>
      <c r="V117" s="5"/>
      <c r="W117" s="5"/>
      <c r="X117" s="5"/>
      <c r="Y117" s="5"/>
      <c r="Z117" s="5"/>
    </row>
    <row r="118" spans="1:26" ht="15.6" x14ac:dyDescent="0.3">
      <c r="A118" s="18" t="s">
        <v>3</v>
      </c>
      <c r="B118" s="25" t="s">
        <v>123</v>
      </c>
      <c r="C118" s="2" t="str">
        <f ca="1">IFERROR(__xludf.DUMMYFUNCTION("GOOGLETRANSLATE(B118, ""bn"", ""en"")"),"A psychologist's self-confidence increases greatly when the Qur'an speaks with conviction about the supremacy of Allah Ta'ala.")</f>
        <v>A psychologist's self-confidence increases greatly when the Qur'an speaks with conviction about the supremacy of Allah Ta'ala.</v>
      </c>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6" x14ac:dyDescent="0.3">
      <c r="A119" s="19" t="s">
        <v>3</v>
      </c>
      <c r="B119" s="26" t="s">
        <v>124</v>
      </c>
      <c r="C119" s="2" t="str">
        <f ca="1">IFERROR(__xludf.DUMMYFUNCTION("GOOGLETRANSLATE(B119, ""bn"", ""en"")"),"Religion gives people confidence and fortitude, which helps them to be brave and strong in difficult times of life.")</f>
        <v>Religion gives people confidence and fortitude, which helps them to be brave and strong in difficult times of life.</v>
      </c>
      <c r="D119" s="7"/>
      <c r="E119" s="7"/>
      <c r="F119" s="7"/>
      <c r="G119" s="5"/>
      <c r="H119" s="5"/>
      <c r="I119" s="5"/>
      <c r="J119" s="5"/>
      <c r="K119" s="5"/>
      <c r="L119" s="5"/>
      <c r="M119" s="5"/>
      <c r="N119" s="5"/>
      <c r="O119" s="5"/>
      <c r="P119" s="5"/>
      <c r="Q119" s="5"/>
      <c r="R119" s="5"/>
      <c r="S119" s="5"/>
      <c r="T119" s="5"/>
      <c r="U119" s="5"/>
      <c r="V119" s="5"/>
      <c r="W119" s="5"/>
      <c r="X119" s="5"/>
      <c r="Y119" s="5"/>
      <c r="Z119" s="5"/>
    </row>
    <row r="120" spans="1:26" ht="15.6" x14ac:dyDescent="0.3">
      <c r="A120" s="19" t="s">
        <v>8</v>
      </c>
      <c r="B120" s="26" t="s">
        <v>125</v>
      </c>
      <c r="C120" s="2" t="str">
        <f ca="1">IFERROR(__xludf.DUMMYFUNCTION("GOOGLETRANSLATE(B120, ""bn"", ""en"")"),"On Saturday, September 17, the idol under construction was vandalized in the Kashipur Durga temple of Barisal's Mehendiganj upazila. The hands and head of the idol are removed and placed at the feet.")</f>
        <v>On Saturday, September 17, the idol under construction was vandalized in the Kashipur Durga temple of Barisal's Mehendiganj upazila. The hands and head of the idol are removed and placed at the feet.</v>
      </c>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6" x14ac:dyDescent="0.3">
      <c r="A121" s="19" t="s">
        <v>3</v>
      </c>
      <c r="B121" s="26" t="s">
        <v>126</v>
      </c>
      <c r="C121" s="2" t="str">
        <f ca="1">IFERROR(__xludf.DUMMYFUNCTION("GOOGLETRANSLATE(B121, ""bn"", ""en"")"),"During Muhammad's time, women took part in various wars, which proves that women's social participation was not hindered.")</f>
        <v>During Muhammad's time, women took part in various wars, which proves that women's social participation was not hindered.</v>
      </c>
      <c r="D121" s="7"/>
      <c r="E121" s="7"/>
      <c r="F121" s="7"/>
      <c r="G121" s="5"/>
      <c r="H121" s="5"/>
      <c r="I121" s="5"/>
      <c r="J121" s="5"/>
      <c r="K121" s="5"/>
      <c r="L121" s="5"/>
      <c r="M121" s="5"/>
      <c r="N121" s="5"/>
      <c r="O121" s="5"/>
      <c r="P121" s="5"/>
      <c r="Q121" s="5"/>
      <c r="R121" s="5"/>
      <c r="S121" s="5"/>
      <c r="T121" s="5"/>
      <c r="U121" s="5"/>
      <c r="V121" s="5"/>
      <c r="W121" s="5"/>
      <c r="X121" s="5"/>
      <c r="Y121" s="5"/>
      <c r="Z121" s="5"/>
    </row>
    <row r="122" spans="1:26" ht="15.6" x14ac:dyDescent="0.3">
      <c r="A122" s="18" t="s">
        <v>3</v>
      </c>
      <c r="B122" s="25" t="s">
        <v>127</v>
      </c>
      <c r="C122" s="2" t="str">
        <f ca="1">IFERROR(__xludf.DUMMYFUNCTION("GOOGLETRANSLATE(B122, ""bn"", ""en"")"),"According to Islamic teachings, cruelty to animals is forbidden, and harming them is not acceptable to Allah.")</f>
        <v>According to Islamic teachings, cruelty to animals is forbidden, and harming them is not acceptable to Allah.</v>
      </c>
      <c r="D122" s="2"/>
      <c r="E122" s="2"/>
      <c r="F122" s="2"/>
      <c r="G122" s="2"/>
      <c r="H122" s="5"/>
      <c r="I122" s="5"/>
      <c r="J122" s="5"/>
      <c r="K122" s="5"/>
      <c r="L122" s="5"/>
      <c r="M122" s="5"/>
      <c r="N122" s="5"/>
      <c r="O122" s="5"/>
      <c r="P122" s="5"/>
      <c r="Q122" s="5"/>
      <c r="R122" s="5"/>
      <c r="S122" s="5"/>
      <c r="T122" s="5"/>
      <c r="U122" s="5"/>
      <c r="V122" s="5"/>
      <c r="W122" s="5"/>
      <c r="X122" s="5"/>
      <c r="Y122" s="5"/>
      <c r="Z122" s="5"/>
    </row>
    <row r="123" spans="1:26" ht="15.6" x14ac:dyDescent="0.3">
      <c r="A123" s="18" t="s">
        <v>8</v>
      </c>
      <c r="B123" s="25" t="s">
        <v>128</v>
      </c>
      <c r="C123" s="2" t="str">
        <f ca="1">IFERROR(__xludf.DUMMYFUNCTION("GOOGLETRANSLATE(B123, ""bn"", ""en"")"),"Former Finance Minister of Bengal and former University Vice-Chancellor Shyamaprasad Mukhopadhyay rejected the contention that the Noakhali riots were a simple communal riot. He described the incident as a well-planned and organized attack by the majority"&amp;" Muslims on the minority Hindu community.")</f>
        <v>Former Finance Minister of Bengal and former University Vice-Chancellor Shyamaprasad Mukhopadhyay rejected the contention that the Noakhali riots were a simple communal riot. He described the incident as a well-planned and organized attack by the majority Muslims on the minority Hindu community.</v>
      </c>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6" x14ac:dyDescent="0.3">
      <c r="A124" s="19" t="s">
        <v>8</v>
      </c>
      <c r="B124" s="26" t="s">
        <v>129</v>
      </c>
      <c r="C124" s="2" t="str">
        <f ca="1">IFERROR(__xludf.DUMMYFUNCTION("GOOGLETRANSLATE(B124, ""bn"", ""en"")"),"On March 5 miscreants tried to set fire to the Guthia Sarvajanin Kali Mandir in Guthia Union of Uzirpur Upazila. In the early hours of March 5, a Kali temple was vandalized in Pakshia union under Borhanuddin upazila of Bhola district.")</f>
        <v>On March 5 miscreants tried to set fire to the Guthia Sarvajanin Kali Mandir in Guthia Union of Uzirpur Upazila. In the early hours of March 5, a Kali temple was vandalized in Pakshia union under Borhanuddin upazila of Bhola district.</v>
      </c>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6" x14ac:dyDescent="0.3">
      <c r="A125" s="18" t="s">
        <v>8</v>
      </c>
      <c r="B125" s="25" t="s">
        <v>130</v>
      </c>
      <c r="C125" s="2" t="str">
        <f ca="1">IFERROR(__xludf.DUMMYFUNCTION("GOOGLETRANSLATE(B125, ""bn"", ""en"")"),"On Thursday, a Facebook ID of a college student named Akash Saha was accused of making controversial comments on a Facebook post about the Holy Prophet Hazrat Muhammad (PBUH). Because of this, an attack was made on Friday afternoon in Sahapara of Dighlia "&amp;"village.")</f>
        <v>On Thursday, a Facebook ID of a college student named Akash Saha was accused of making controversial comments on a Facebook post about the Holy Prophet Hazrat Muhammad (PBUH). Because of this, an attack was made on Friday afternoon in Sahapara of Dighlia village.</v>
      </c>
      <c r="D125" s="6"/>
      <c r="E125" s="6"/>
      <c r="F125" s="6"/>
      <c r="G125" s="6"/>
      <c r="H125" s="3"/>
      <c r="I125" s="3"/>
      <c r="J125" s="3"/>
      <c r="K125" s="3"/>
      <c r="L125" s="3"/>
      <c r="M125" s="3"/>
      <c r="N125" s="3"/>
      <c r="O125" s="3"/>
      <c r="P125" s="3"/>
      <c r="Q125" s="3"/>
      <c r="R125" s="3"/>
      <c r="S125" s="3"/>
      <c r="T125" s="3"/>
      <c r="U125" s="3"/>
      <c r="V125" s="3"/>
      <c r="W125" s="3"/>
      <c r="X125" s="3"/>
      <c r="Y125" s="3"/>
      <c r="Z125" s="3"/>
    </row>
    <row r="126" spans="1:26" ht="15.6" x14ac:dyDescent="0.3">
      <c r="A126" s="19" t="s">
        <v>5</v>
      </c>
      <c r="B126" s="26" t="s">
        <v>131</v>
      </c>
      <c r="C126" s="2" t="str">
        <f ca="1">IFERROR(__xludf.DUMMYFUNCTION("GOOGLETRANSLATE(B126, ""bn"", ""en"")"),"Hindutva groups blamed local Christian tribesmen for Laxmanananda's murder - although the government suspected the killers to be Maoist rebels. A senior Maoist leader later claimed responsibility for the killing and the police also confirmed that the Maoi"&amp;"sts had trained tribal youths to kill.")</f>
        <v>Hindutva groups blamed local Christian tribesmen for Laxmanananda's murder - although the government suspected the killers to be Maoist rebels. A senior Maoist leader later claimed responsibility for the killing and the police also confirmed that the Maoists had trained tribal youths to kill.</v>
      </c>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6" x14ac:dyDescent="0.3">
      <c r="A127" s="18" t="s">
        <v>5</v>
      </c>
      <c r="B127" s="24" t="s">
        <v>132</v>
      </c>
      <c r="C127" s="2" t="str">
        <f ca="1">IFERROR(__xludf.DUMMYFUNCTION("GOOGLETRANSLATE(B127, ""bn"", ""en"")"),"44 people were killed due to religious hatred in Netrakona. The police tried to bring the situation under control by baton charge, but the violence did not stop. Many families fled.")</f>
        <v>44 people were killed due to religious hatred in Netrakona. The police tried to bring the situation under control by baton charge, but the violence did not stop. Many families fled.</v>
      </c>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6" x14ac:dyDescent="0.3">
      <c r="A128" s="19" t="s">
        <v>5</v>
      </c>
      <c r="B128" s="26" t="s">
        <v>133</v>
      </c>
      <c r="C128" s="2" t="str">
        <f ca="1">IFERROR(__xludf.DUMMYFUNCTION("GOOGLETRANSLATE(B128, ""bn"", ""en"")"),"The protests of the past few days have been compared to the furor that followed the 2015 cartoon of the Prophet of Islam that killed 12 people at the offices of a satirical magazine.")</f>
        <v>The protests of the past few days have been compared to the furor that followed the 2015 cartoon of the Prophet of Islam that killed 12 people at the offices of a satirical magazine.</v>
      </c>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6" x14ac:dyDescent="0.3">
      <c r="A129" s="18" t="s">
        <v>8</v>
      </c>
      <c r="B129" s="25" t="s">
        <v>134</v>
      </c>
      <c r="C129" s="2" t="str">
        <f ca="1">IFERROR(__xludf.DUMMYFUNCTION("GOOGLETRANSLATE(B129, ""bn"", ""en"")"),"According to police information, 43 people have been arrested in connection with the attack and vandalism of temples in various areas of Comilla and Chittagong range till October 14, 2021.")</f>
        <v>According to police information, 43 people have been arrested in connection with the attack and vandalism of temples in various areas of Comilla and Chittagong range till October 14, 2021.</v>
      </c>
      <c r="D129" s="7"/>
      <c r="E129" s="7"/>
      <c r="F129" s="7"/>
      <c r="G129" s="7"/>
      <c r="H129" s="7"/>
      <c r="I129" s="5"/>
      <c r="J129" s="5"/>
      <c r="K129" s="5"/>
      <c r="L129" s="5"/>
      <c r="M129" s="5"/>
      <c r="N129" s="5"/>
      <c r="O129" s="5"/>
      <c r="P129" s="5"/>
      <c r="Q129" s="5"/>
      <c r="R129" s="5"/>
      <c r="S129" s="5"/>
      <c r="T129" s="5"/>
      <c r="U129" s="5"/>
      <c r="V129" s="5"/>
      <c r="W129" s="5"/>
      <c r="X129" s="5"/>
      <c r="Y129" s="5"/>
      <c r="Z129" s="5"/>
    </row>
    <row r="130" spans="1:26" ht="15.6" x14ac:dyDescent="0.3">
      <c r="A130" s="18" t="s">
        <v>3</v>
      </c>
      <c r="B130" s="25" t="s">
        <v>135</v>
      </c>
      <c r="C130" s="2" t="str">
        <f ca="1">IFERROR(__xludf.DUMMYFUNCTION("GOOGLETRANSLATE(B130, ""bn"", ""en"")"),"As a result of the kindness of the Muslim rulers, the good treatment of the Muslims towards the Buddhists, the Buddhists began to seek shelter under the shade of Islam.")</f>
        <v>As a result of the kindness of the Muslim rulers, the good treatment of the Muslims towards the Buddhists, the Buddhists began to seek shelter under the shade of Islam.</v>
      </c>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6" x14ac:dyDescent="0.3">
      <c r="A131" s="18" t="s">
        <v>5</v>
      </c>
      <c r="B131" s="24" t="s">
        <v>136</v>
      </c>
      <c r="C131" s="2" t="str">
        <f ca="1">IFERROR(__xludf.DUMMYFUNCTION("GOOGLETRANSLATE(B131, ""bn"", ""en"")"),"In February 2020, 36 people were killed in clashes between a group of religious groups.")</f>
        <v>In February 2020, 36 people were killed in clashes between a group of religious groups.</v>
      </c>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6" x14ac:dyDescent="0.3">
      <c r="A132" s="19" t="s">
        <v>23</v>
      </c>
      <c r="B132" s="26" t="s">
        <v>137</v>
      </c>
      <c r="C132" s="2" t="str">
        <f ca="1">IFERROR(__xludf.DUMMYFUNCTION("GOOGLETRANSLATE(B132, ""bn"", ""en"")"),"All Hindu workers of 35 tea plantations in Sylhet were threatened to convert to Islam. They were forced to eat beef.")</f>
        <v>All Hindu workers of 35 tea plantations in Sylhet were threatened to convert to Islam. They were forced to eat beef.</v>
      </c>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6" x14ac:dyDescent="0.3">
      <c r="A133" s="19" t="s">
        <v>3</v>
      </c>
      <c r="B133" s="26" t="s">
        <v>138</v>
      </c>
      <c r="C133" s="2" t="str">
        <f ca="1">IFERROR(__xludf.DUMMYFUNCTION("GOOGLETRANSLATE(B133, ""bn"", ""en"")"),"The Criminal Penal Code of Bangladesh contains express laws for religious insults, which were amended in 1927 by the addition clause and adopted with some modifications after independence.")</f>
        <v>The Criminal Penal Code of Bangladesh contains express laws for religious insults, which were amended in 1927 by the addition clause and adopted with some modifications after independence.</v>
      </c>
      <c r="D133" s="7"/>
      <c r="E133" s="7"/>
      <c r="F133" s="7"/>
      <c r="G133" s="7"/>
      <c r="H133" s="7"/>
      <c r="I133" s="7"/>
      <c r="J133" s="7"/>
      <c r="K133" s="7"/>
      <c r="L133" s="7"/>
      <c r="M133" s="7"/>
      <c r="N133" s="7"/>
      <c r="O133" s="5"/>
      <c r="P133" s="5"/>
      <c r="Q133" s="5"/>
      <c r="R133" s="5"/>
      <c r="S133" s="5"/>
      <c r="T133" s="5"/>
      <c r="U133" s="5"/>
      <c r="V133" s="5"/>
      <c r="W133" s="5"/>
      <c r="X133" s="5"/>
      <c r="Y133" s="5"/>
      <c r="Z133" s="5"/>
    </row>
    <row r="134" spans="1:26" ht="15.6" x14ac:dyDescent="0.3">
      <c r="A134" s="19" t="s">
        <v>23</v>
      </c>
      <c r="B134" s="26" t="s">
        <v>139</v>
      </c>
      <c r="C134" s="2" t="str">
        <f ca="1">IFERROR(__xludf.DUMMYFUNCTION("GOOGLETRANSLATE(B134, ""bn"", ""en"")"),"In Bangladesh, you are winning people's hearts by talking about Islam, and in that video you are promoting haram things like gambling, this is clear anti-religious hypocrisy.")</f>
        <v>In Bangladesh, you are winning people's hearts by talking about Islam, and in that video you are promoting haram things like gambling, this is clear anti-religious hypocrisy.</v>
      </c>
      <c r="D134" s="7"/>
      <c r="E134" s="7"/>
      <c r="F134" s="7"/>
      <c r="G134" s="7"/>
      <c r="H134" s="7"/>
      <c r="I134" s="5"/>
      <c r="J134" s="5"/>
      <c r="K134" s="5"/>
      <c r="L134" s="5"/>
      <c r="M134" s="5"/>
      <c r="N134" s="5"/>
      <c r="O134" s="5"/>
      <c r="P134" s="5"/>
      <c r="Q134" s="5"/>
      <c r="R134" s="5"/>
      <c r="S134" s="5"/>
      <c r="T134" s="5"/>
      <c r="U134" s="5"/>
      <c r="V134" s="5"/>
      <c r="W134" s="5"/>
      <c r="X134" s="5"/>
      <c r="Y134" s="5"/>
      <c r="Z134" s="5"/>
    </row>
    <row r="135" spans="1:26" ht="15.6" x14ac:dyDescent="0.3">
      <c r="A135" s="18" t="s">
        <v>8</v>
      </c>
      <c r="B135" s="25" t="s">
        <v>140</v>
      </c>
      <c r="C135" s="2" t="str">
        <f ca="1">IFERROR(__xludf.DUMMYFUNCTION("GOOGLETRANSLATE(B135, ""bn"", ""en"")"),"Communal attack for 10 rupees! That is also possible in this country. The incident happened again on January 10, Bangabandhu's homecoming day.")</f>
        <v>Communal attack for 10 rupees! That is also possible in this country. The incident happened again on January 10, Bangabandhu's homecoming day.</v>
      </c>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6" x14ac:dyDescent="0.3">
      <c r="A136" s="18" t="s">
        <v>5</v>
      </c>
      <c r="B136" s="25" t="s">
        <v>141</v>
      </c>
      <c r="C136" s="2" t="str">
        <f ca="1">IFERROR(__xludf.DUMMYFUNCTION("GOOGLETRANSLATE(B136, ""bn"", ""en"")"),"Five people from the Hindu community were killed in the six months from January to June this year.")</f>
        <v>Five people from the Hindu community were killed in the six months from January to June this year.</v>
      </c>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6" x14ac:dyDescent="0.3">
      <c r="A137" s="18" t="s">
        <v>23</v>
      </c>
      <c r="B137" s="25" t="s">
        <v>142</v>
      </c>
      <c r="C137" s="2" t="str">
        <f ca="1">IFERROR(__xludf.DUMMYFUNCTION("GOOGLETRANSLATE(B137, ""bn"", ""en"")"),"Those who are insulting religion today, are indulging in the destruction of religion by dressing up as heathens.")</f>
        <v>Those who are insulting religion today, are indulging in the destruction of religion by dressing up as heathens.</v>
      </c>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6" x14ac:dyDescent="0.3">
      <c r="A138" s="18" t="s">
        <v>3</v>
      </c>
      <c r="B138" s="25" t="s">
        <v>143</v>
      </c>
      <c r="C138" s="2" t="str">
        <f ca="1">IFERROR(__xludf.DUMMYFUNCTION("GOOGLETRANSLATE(B138, ""bn"", ""en"")"),"Whoever follows Allah's guidance, his life is beautiful and successful, and Allah rewards him with peace in this world and in the Hereafter.")</f>
        <v>Whoever follows Allah's guidance, his life is beautiful and successful, and Allah rewards him with peace in this world and in the Hereafter.</v>
      </c>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6" x14ac:dyDescent="0.3">
      <c r="A139" s="18" t="s">
        <v>8</v>
      </c>
      <c r="B139" s="25" t="s">
        <v>144</v>
      </c>
      <c r="C139" s="2" t="str">
        <f ca="1">IFERROR(__xludf.DUMMYFUNCTION("GOOGLETRANSLATE(B139, ""bn"", ""en"")"),"At 8:00 p.m., Gurcharan Dahar's family in Naogram, just six miles from Sylhet, was attacked. The next morning at 7am the heavily armed Muslims surrounded the village. At least 1,500 Hindus fled their homes in fear of their lives and hid in nearby forests.")</f>
        <v>At 8:00 p.m., Gurcharan Dahar's family in Naogram, just six miles from Sylhet, was attacked. The next morning at 7am the heavily armed Muslims surrounded the village. At least 1,500 Hindus fled their homes in fear of their lives and hid in nearby forests.</v>
      </c>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6" x14ac:dyDescent="0.3">
      <c r="A140" s="18" t="s">
        <v>3</v>
      </c>
      <c r="B140" s="24" t="s">
        <v>145</v>
      </c>
      <c r="C140" s="2" t="str">
        <f ca="1">IFERROR(__xludf.DUMMYFUNCTION("GOOGLETRANSLATE(B140, ""bn"", ""en"")"),"During the month of Ramadan, Muslims try to gain closeness to Allah through self-restraint. The practice of patience, compassion and charity increases in this month.")</f>
        <v>During the month of Ramadan, Muslims try to gain closeness to Allah through self-restraint. The practice of patience, compassion and charity increases in this month.</v>
      </c>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6" x14ac:dyDescent="0.3">
      <c r="A141" s="19" t="s">
        <v>23</v>
      </c>
      <c r="B141" s="26" t="s">
        <v>146</v>
      </c>
      <c r="C141" s="2" t="str">
        <f ca="1">IFERROR(__xludf.DUMMYFUNCTION("GOOGLETRANSLATE(B141, ""bn"", ""en"")"),"At the foot of the idol in the Puja Mandap in Comilla, the greatest epic book the Holy Quran is kept. Strongly condemn this dirty inhumanity. I strongly demand the immediate arrest of those involved and exemplary punishment.")</f>
        <v>At the foot of the idol in the Puja Mandap in Comilla, the greatest epic book the Holy Quran is kept. Strongly condemn this dirty inhumanity. I strongly demand the immediate arrest of those involved and exemplary punishment.</v>
      </c>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6" x14ac:dyDescent="0.3">
      <c r="A142" s="18" t="s">
        <v>23</v>
      </c>
      <c r="B142" s="25" t="s">
        <v>147</v>
      </c>
      <c r="C142" s="2" t="str">
        <f ca="1">IFERROR(__xludf.DUMMYFUNCTION("GOOGLETRANSLATE(B142, ""bn"", ""en"")"),"They do not fall in the queue of people, the worms of hell.")</f>
        <v>They do not fall in the queue of people, the worms of hell.</v>
      </c>
      <c r="D142" s="2"/>
      <c r="E142" s="2"/>
      <c r="F142" s="2"/>
      <c r="G142" s="2"/>
      <c r="H142" s="5"/>
      <c r="I142" s="5"/>
      <c r="J142" s="5"/>
      <c r="K142" s="5"/>
      <c r="L142" s="5"/>
      <c r="M142" s="5"/>
      <c r="N142" s="5"/>
      <c r="O142" s="5"/>
      <c r="P142" s="5"/>
      <c r="Q142" s="5"/>
      <c r="R142" s="5"/>
      <c r="S142" s="5"/>
      <c r="T142" s="5"/>
      <c r="U142" s="5"/>
      <c r="V142" s="5"/>
      <c r="W142" s="5"/>
      <c r="X142" s="5"/>
      <c r="Y142" s="5"/>
      <c r="Z142" s="5"/>
    </row>
    <row r="143" spans="1:26" ht="15.6" x14ac:dyDescent="0.3">
      <c r="A143" s="18" t="s">
        <v>5</v>
      </c>
      <c r="B143" s="24" t="s">
        <v>148</v>
      </c>
      <c r="C143" s="2" t="str">
        <f ca="1">IFERROR(__xludf.DUMMYFUNCTION("GOOGLETRANSLATE(B143, ""bn"", ""en"")"),"In a Middle Eastern country, women from a minority community are sold as sex slaves, forced to change their religion. Total killed: 57 people.")</f>
        <v>In a Middle Eastern country, women from a minority community are sold as sex slaves, forced to change their religion. Total killed: 57 people.</v>
      </c>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6" x14ac:dyDescent="0.3">
      <c r="A144" s="18" t="s">
        <v>8</v>
      </c>
      <c r="B144" s="25" t="s">
        <v>149</v>
      </c>
      <c r="C144" s="2" t="str">
        <f ca="1">IFERROR(__xludf.DUMMYFUNCTION("GOOGLETRANSLATE(B144, ""bn"", ""en"")"),"Theft of Shivlinga of precious stones from the temple in Ishwarganj and vandalism of the temple")</f>
        <v>Theft of Shivlinga of precious stones from the temple in Ishwarganj and vandalism of the temple</v>
      </c>
      <c r="D144" s="2"/>
      <c r="E144" s="2"/>
      <c r="F144" s="2"/>
      <c r="G144" s="2"/>
      <c r="H144" s="5"/>
      <c r="I144" s="5"/>
      <c r="J144" s="5"/>
      <c r="K144" s="5"/>
      <c r="L144" s="5"/>
      <c r="M144" s="5"/>
      <c r="N144" s="5"/>
      <c r="O144" s="5"/>
      <c r="P144" s="5"/>
      <c r="Q144" s="5"/>
      <c r="R144" s="5"/>
      <c r="S144" s="5"/>
      <c r="T144" s="5"/>
      <c r="U144" s="5"/>
      <c r="V144" s="5"/>
      <c r="W144" s="5"/>
      <c r="X144" s="5"/>
      <c r="Y144" s="5"/>
      <c r="Z144" s="5"/>
    </row>
    <row r="145" spans="1:26" ht="15.6" x14ac:dyDescent="0.3">
      <c r="A145" s="19" t="s">
        <v>5</v>
      </c>
      <c r="B145" s="26" t="s">
        <v>150</v>
      </c>
      <c r="C145" s="2" t="str">
        <f ca="1">IFERROR(__xludf.DUMMYFUNCTION("GOOGLETRANSLATE(B145, ""bn"", ""en"")"),"Beginning on the day of Kojagari Lakshmi Puja on October 10, 1946, a massacre of Hindus took place over a period of about four weeks, in which at least 5,000 Hindus were killed.")</f>
        <v>Beginning on the day of Kojagari Lakshmi Puja on October 10, 1946, a massacre of Hindus took place over a period of about four weeks, in which at least 5,000 Hindus were killed.</v>
      </c>
      <c r="D145" s="7"/>
      <c r="E145" s="7"/>
      <c r="F145" s="7"/>
      <c r="G145" s="7"/>
      <c r="H145" s="7"/>
      <c r="I145" s="7"/>
      <c r="J145" s="7"/>
      <c r="K145" s="7"/>
      <c r="L145" s="7"/>
      <c r="M145" s="5"/>
      <c r="N145" s="5"/>
      <c r="O145" s="5"/>
      <c r="P145" s="5"/>
      <c r="Q145" s="5"/>
      <c r="R145" s="5"/>
      <c r="S145" s="5"/>
      <c r="T145" s="5"/>
      <c r="U145" s="5"/>
      <c r="V145" s="5"/>
      <c r="W145" s="5"/>
      <c r="X145" s="5"/>
      <c r="Y145" s="5"/>
      <c r="Z145" s="5"/>
    </row>
    <row r="146" spans="1:26" ht="15.6" x14ac:dyDescent="0.3">
      <c r="A146" s="18" t="s">
        <v>5</v>
      </c>
      <c r="B146" s="24" t="s">
        <v>151</v>
      </c>
      <c r="C146" s="2" t="str">
        <f ca="1">IFERROR(__xludf.DUMMYFUNCTION("GOOGLETRANSLATE(B146, ""bn"", ""en"")"),"In a village in Mymensingh, 37 people from the minority Hindu community were killed in a religious riot. Many holy temples were destroyed in the attack. The local administration and security forces did not take proper action and the situation further dete"&amp;"riorated. Many families became homeless.")</f>
        <v>In a village in Mymensingh, 37 people from the minority Hindu community were killed in a religious riot. Many holy temples were destroyed in the attack. The local administration and security forces did not take proper action and the situation further deteriorated. Many families became homeless.</v>
      </c>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6" x14ac:dyDescent="0.3">
      <c r="A147" s="18" t="s">
        <v>5</v>
      </c>
      <c r="B147" s="24" t="s">
        <v>152</v>
      </c>
      <c r="C147" s="2" t="str">
        <f ca="1">IFERROR(__xludf.DUMMYFUNCTION("GOOGLETRANSLATE(B147, ""bn"", ""en"")"),"In Kishoreganj, a group attacked an artist's exhibition for allegedly hurting religious sentiments; 17 people were killed.")</f>
        <v>In Kishoreganj, a group attacked an artist's exhibition for allegedly hurting religious sentiments; 17 people were killed.</v>
      </c>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6" x14ac:dyDescent="0.3">
      <c r="A148" s="18" t="s">
        <v>5</v>
      </c>
      <c r="B148" s="25" t="s">
        <v>153</v>
      </c>
      <c r="C148" s="2" t="str">
        <f ca="1">IFERROR(__xludf.DUMMYFUNCTION("GOOGLETRANSLATE(B148, ""bn"", ""en"")"),"Serb forces launched a campaign of ethnic cleansing against Bosnian Muslims, killing more than 8,000 Muslim men and boys in Srebrenica.")</f>
        <v>Serb forces launched a campaign of ethnic cleansing against Bosnian Muslims, killing more than 8,000 Muslim men and boys in Srebrenica.</v>
      </c>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6" x14ac:dyDescent="0.3">
      <c r="A149" s="18" t="s">
        <v>5</v>
      </c>
      <c r="B149" s="24" t="s">
        <v>154</v>
      </c>
      <c r="C149" s="2" t="str">
        <f ca="1">IFERROR(__xludf.DUMMYFUNCTION("GOOGLETRANSLATE(B149, ""bn"", ""en"")"),"In August 2019, a religious group carried out terror attacks on minorities, killing 23 people.")</f>
        <v>In August 2019, a religious group carried out terror attacks on minorities, killing 23 people.</v>
      </c>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6" x14ac:dyDescent="0.3">
      <c r="A150" s="18" t="s">
        <v>5</v>
      </c>
      <c r="B150" s="25" t="s">
        <v>155</v>
      </c>
      <c r="C150" s="2" t="str">
        <f ca="1">IFERROR(__xludf.DUMMYFUNCTION("GOOGLETRANSLATE(B150, ""bn"", ""en"")"),"Hindu extremists opened fire indiscriminately on the fleeing Santal refugees, killing 17, and some who tried to escape from the hills or were seriously injured.")</f>
        <v>Hindu extremists opened fire indiscriminately on the fleeing Santal refugees, killing 17, and some who tried to escape from the hills or were seriously injured.</v>
      </c>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6" x14ac:dyDescent="0.3">
      <c r="A151" s="19" t="s">
        <v>23</v>
      </c>
      <c r="B151" s="26" t="s">
        <v>156</v>
      </c>
      <c r="C151" s="2" t="str">
        <f ca="1">IFERROR(__xludf.DUMMYFUNCTION("GOOGLETRANSLATE(B151, ""bn"", ""en"")"),"No one has survived by insulting the Qur'an and will not survive in the future, inshallah. Thank you for protesting and protesting from far Baitullah Sharif. And I am requesting prayers for the three of you and my family members. May Allah protect our Mus"&amp;"lim Ummah.")</f>
        <v>No one has survived by insulting the Qur'an and will not survive in the future, inshallah. Thank you for protesting and protesting from far Baitullah Sharif. And I am requesting prayers for the three of you and my family members. May Allah protect our Muslim Ummah.</v>
      </c>
      <c r="D151" s="7"/>
      <c r="E151" s="7"/>
      <c r="F151" s="7"/>
      <c r="G151" s="7"/>
      <c r="H151" s="7"/>
      <c r="I151" s="7"/>
      <c r="J151" s="7"/>
      <c r="K151" s="7"/>
      <c r="L151" s="7"/>
      <c r="M151" s="7"/>
      <c r="N151" s="7"/>
      <c r="O151" s="7"/>
      <c r="P151" s="5"/>
      <c r="Q151" s="5"/>
      <c r="R151" s="5"/>
      <c r="S151" s="5"/>
      <c r="T151" s="5"/>
      <c r="U151" s="5"/>
      <c r="V151" s="5"/>
      <c r="W151" s="5"/>
      <c r="X151" s="5"/>
      <c r="Y151" s="5"/>
      <c r="Z151" s="5"/>
    </row>
    <row r="152" spans="1:26" ht="15.6" x14ac:dyDescent="0.3">
      <c r="A152" s="18" t="s">
        <v>3</v>
      </c>
      <c r="B152" s="25" t="s">
        <v>157</v>
      </c>
      <c r="C152" s="2" t="str">
        <f ca="1">IFERROR(__xludf.DUMMYFUNCTION("GOOGLETRANSLATE(B152, ""bn"", ""en"")"),"My girlfriend is now a true believer. He cries in gratitude to Allah when he sits in prayer. But this belief was destroyed by a priest.")</f>
        <v>My girlfriend is now a true believer. He cries in gratitude to Allah when he sits in prayer. But this belief was destroyed by a priest.</v>
      </c>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6" x14ac:dyDescent="0.3">
      <c r="A153" s="19" t="s">
        <v>8</v>
      </c>
      <c r="B153" s="26" t="s">
        <v>158</v>
      </c>
      <c r="C153" s="2" t="str">
        <f ca="1">IFERROR(__xludf.DUMMYFUNCTION("GOOGLETRANSLATE(B153, ""bn"", ""en"")"),"In January 2019, the Swaminarayan Temple in Dhaka was attacked and anti-Hindu slogans were written on the walls.")</f>
        <v>In January 2019, the Swaminarayan Temple in Dhaka was attacked and anti-Hindu slogans were written on the walls.</v>
      </c>
      <c r="D153" s="7"/>
      <c r="E153" s="7"/>
      <c r="F153" s="7"/>
      <c r="G153" s="5"/>
      <c r="H153" s="5"/>
      <c r="I153" s="5"/>
      <c r="J153" s="5"/>
      <c r="K153" s="5"/>
      <c r="L153" s="5"/>
      <c r="M153" s="5"/>
      <c r="N153" s="5"/>
      <c r="O153" s="5"/>
      <c r="P153" s="5"/>
      <c r="Q153" s="5"/>
      <c r="R153" s="5"/>
      <c r="S153" s="5"/>
      <c r="T153" s="5"/>
      <c r="U153" s="5"/>
      <c r="V153" s="5"/>
      <c r="W153" s="5"/>
      <c r="X153" s="5"/>
      <c r="Y153" s="5"/>
      <c r="Z153" s="5"/>
    </row>
    <row r="154" spans="1:26" ht="15.6" x14ac:dyDescent="0.3">
      <c r="A154" s="18" t="s">
        <v>5</v>
      </c>
      <c r="B154" s="25" t="s">
        <v>159</v>
      </c>
      <c r="C154" s="2" t="str">
        <f ca="1">IFERROR(__xludf.DUMMYFUNCTION("GOOGLETRANSLATE(B154, ""bn"", ""en"")"),"Bloody clashes between the country's Christian militias (Anti-Balaka) and Muslim armed groups (Séléka) have left thousands dead and displaced.")</f>
        <v>Bloody clashes between the country's Christian militias (Anti-Balaka) and Muslim armed groups (Séléka) have left thousands dead and displaced.</v>
      </c>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6" x14ac:dyDescent="0.3">
      <c r="A155" s="19" t="s">
        <v>5</v>
      </c>
      <c r="B155" s="26" t="s">
        <v>160</v>
      </c>
      <c r="C155" s="2" t="str">
        <f ca="1">IFERROR(__xludf.DUMMYFUNCTION("GOOGLETRANSLATE(B155, ""bn"", ""en"")"),"Millions of people lost their lives as Christian and Muslim forces clashed during the Crusades, one of the bloodiest wars waged in the name of religion.")</f>
        <v>Millions of people lost their lives as Christian and Muslim forces clashed during the Crusades, one of the bloodiest wars waged in the name of religion.</v>
      </c>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6" x14ac:dyDescent="0.3">
      <c r="A156" s="19" t="s">
        <v>5</v>
      </c>
      <c r="B156" s="26" t="s">
        <v>161</v>
      </c>
      <c r="C156" s="2" t="str">
        <f ca="1">IFERROR(__xludf.DUMMYFUNCTION("GOOGLETRANSLATE(B156, ""bn"", ""en"")"),"132 mosques were destroyed during the Khmer Rouge regime. Many mosques are desecrated by being used for acts of iniquity. Muslims were stopped from worshiping. They were forced to eat pork. Those who refused to eat it were killed.")</f>
        <v>132 mosques were destroyed during the Khmer Rouge regime. Many mosques are desecrated by being used for acts of iniquity. Muslims were stopped from worshiping. They were forced to eat pork. Those who refused to eat it were killed.</v>
      </c>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6" x14ac:dyDescent="0.3">
      <c r="A157" s="19" t="s">
        <v>8</v>
      </c>
      <c r="B157" s="26" t="s">
        <v>162</v>
      </c>
      <c r="C157" s="2" t="str">
        <f ca="1">IFERROR(__xludf.DUMMYFUNCTION("GOOGLETRANSLATE(B157, ""bn"", ""en"")"),"A local extremist group started a fire by throwing a gas cylinder at a Buddhist monastery in the hilly area of ​​Chittagong.")</f>
        <v>A local extremist group started a fire by throwing a gas cylinder at a Buddhist monastery in the hilly area of ​​Chittagong.</v>
      </c>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6" x14ac:dyDescent="0.3">
      <c r="A158" s="18" t="s">
        <v>23</v>
      </c>
      <c r="B158" s="25" t="s">
        <v>163</v>
      </c>
      <c r="C158" s="2" t="str">
        <f ca="1">IFERROR(__xludf.DUMMYFUNCTION("GOOGLETRANSLATE(B158, ""bn"", ""en"")"),"This is not just an attack on individuals but on our religion. Protest online, silence is betrayal of trust.")</f>
        <v>This is not just an attack on individuals but on our religion. Protest online, silence is betrayal of trust.</v>
      </c>
      <c r="D158" s="2"/>
      <c r="E158" s="2"/>
      <c r="F158" s="2"/>
      <c r="G158" s="2"/>
      <c r="H158" s="5"/>
      <c r="I158" s="5"/>
      <c r="J158" s="5"/>
      <c r="K158" s="5"/>
      <c r="L158" s="5"/>
      <c r="M158" s="5"/>
      <c r="N158" s="5"/>
      <c r="O158" s="5"/>
      <c r="P158" s="5"/>
      <c r="Q158" s="5"/>
      <c r="R158" s="5"/>
      <c r="S158" s="5"/>
      <c r="T158" s="5"/>
      <c r="U158" s="5"/>
      <c r="V158" s="5"/>
      <c r="W158" s="5"/>
      <c r="X158" s="5"/>
      <c r="Y158" s="5"/>
      <c r="Z158" s="5"/>
    </row>
    <row r="159" spans="1:26" ht="15.6" x14ac:dyDescent="0.3">
      <c r="A159" s="18" t="s">
        <v>3</v>
      </c>
      <c r="B159" s="25" t="s">
        <v>164</v>
      </c>
      <c r="C159" s="2" t="str">
        <f ca="1">IFERROR(__xludf.DUMMYFUNCTION("GOOGLETRANSLATE(B159, ""bn"", ""en"")"),"Now I see that all religions and cultures are practiced in our country, which I used to think only as an Islamic state.")</f>
        <v>Now I see that all religions and cultures are practiced in our country, which I used to think only as an Islamic state.</v>
      </c>
      <c r="D159" s="7"/>
      <c r="E159" s="7"/>
      <c r="F159" s="7"/>
      <c r="G159" s="5"/>
      <c r="H159" s="5"/>
      <c r="I159" s="5"/>
      <c r="J159" s="5"/>
      <c r="K159" s="5"/>
      <c r="L159" s="5"/>
      <c r="M159" s="5"/>
      <c r="N159" s="5"/>
      <c r="O159" s="5"/>
      <c r="P159" s="5"/>
      <c r="Q159" s="5"/>
      <c r="R159" s="5"/>
      <c r="S159" s="5"/>
      <c r="T159" s="5"/>
      <c r="U159" s="5"/>
      <c r="V159" s="5"/>
      <c r="W159" s="5"/>
      <c r="X159" s="5"/>
      <c r="Y159" s="5"/>
      <c r="Z159" s="5"/>
    </row>
    <row r="160" spans="1:26" ht="15.6" x14ac:dyDescent="0.3">
      <c r="A160" s="19" t="s">
        <v>23</v>
      </c>
      <c r="B160" s="26" t="s">
        <v>165</v>
      </c>
      <c r="C160" s="2" t="str">
        <f ca="1">IFERROR(__xludf.DUMMYFUNCTION("GOOGLETRANSLATE(B160, ""bn"", ""en"")"),"How can my Muslim brother kill a brother and the brother remains. Where am I today? May Allah judge them.")</f>
        <v>How can my Muslim brother kill a brother and the brother remains. Where am I today? May Allah judge them.</v>
      </c>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6" x14ac:dyDescent="0.3">
      <c r="A161" s="18" t="s">
        <v>8</v>
      </c>
      <c r="B161" s="24" t="s">
        <v>166</v>
      </c>
      <c r="C161" s="2" t="str">
        <f ca="1">IFERROR(__xludf.DUMMYFUNCTION("GOOGLETRANSLATE(B161, ""bn"", ""en"")"),"A temple in Naogaon was crept into the darkness of night and religious books were torn up, prompting deep concern among the local Hindu community.")</f>
        <v>A temple in Naogaon was crept into the darkness of night and religious books were torn up, prompting deep concern among the local Hindu community.</v>
      </c>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6" x14ac:dyDescent="0.3">
      <c r="A162" s="19" t="s">
        <v>8</v>
      </c>
      <c r="B162" s="26" t="s">
        <v>167</v>
      </c>
      <c r="C162" s="2" t="str">
        <f ca="1">IFERROR(__xludf.DUMMYFUNCTION("GOOGLETRANSLATE(B162, ""bn"", ""en"")"),"On August 26, the under-construction Durga idol of Shivpur Kanardanga Sarvajanin Durga Mandir in Ward No. 1 of Shivpur Union of Satkhira Sadar was vandalized. It is alleged that the vandalism was carried out after 11 pm on Friday.")</f>
        <v>On August 26, the under-construction Durga idol of Shivpur Kanardanga Sarvajanin Durga Mandir in Ward No. 1 of Shivpur Union of Satkhira Sadar was vandalized. It is alleged that the vandalism was carried out after 11 pm on Friday.</v>
      </c>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6" x14ac:dyDescent="0.3">
      <c r="A163" s="18" t="s">
        <v>23</v>
      </c>
      <c r="B163" s="25" t="s">
        <v>168</v>
      </c>
      <c r="C163" s="2" t="str">
        <f ca="1">IFERROR(__xludf.DUMMYFUNCTION("GOOGLETRANSLATE(B163, ""bn"", ""en"")"),"I strongly demand to punish those who insult the Qur'an more severely. As if no one else could show such courage.")</f>
        <v>I strongly demand to punish those who insult the Qur'an more severely. As if no one else could show such courage.</v>
      </c>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6" x14ac:dyDescent="0.3">
      <c r="A164" s="18" t="s">
        <v>5</v>
      </c>
      <c r="B164" s="24" t="s">
        <v>169</v>
      </c>
      <c r="C164" s="2" t="str">
        <f ca="1">IFERROR(__xludf.DUMMYFUNCTION("GOOGLETRANSLATE(B164, ""bn"", ""en"")"),"45 people lost their lives in clashes due to religious extremism in Jhalkathi. As the police failed to control the situation, the government called for calm and a sense of religious responsibility. Affected minority families seek shelter for safety.")</f>
        <v>45 people lost their lives in clashes due to religious extremism in Jhalkathi. As the police failed to control the situation, the government called for calm and a sense of religious responsibility. Affected minority families seek shelter for safety.</v>
      </c>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6" x14ac:dyDescent="0.3">
      <c r="A165" s="18" t="s">
        <v>23</v>
      </c>
      <c r="B165" s="24" t="s">
        <v>170</v>
      </c>
      <c r="C165" s="2" t="str">
        <f ca="1">IFERROR(__xludf.DUMMYFUNCTION("GOOGLETRANSLATE(B165, ""bn"", ""en"")"),"Christian missionaries are damaging religious unity and creating division in the country in the name of conversion.")</f>
        <v>Christian missionaries are damaging religious unity and creating division in the country in the name of conversion.</v>
      </c>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6" x14ac:dyDescent="0.3">
      <c r="A166" s="18" t="s">
        <v>8</v>
      </c>
      <c r="B166" s="25" t="s">
        <v>171</v>
      </c>
      <c r="C166" s="2" t="str">
        <f ca="1">IFERROR(__xludf.DUMMYFUNCTION("GOOGLETRANSLATE(B166, ""bn"", ""en"")"),"""Four mosques, 37 houses, 46 shops and 35 cars were vandalized and set on fire,"" a local official told the BBC.")</f>
        <v>"Four mosques, 37 houses, 46 shops and 35 cars were vandalized and set on fire," a local official told the BBC.</v>
      </c>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6" x14ac:dyDescent="0.3">
      <c r="A167" s="18" t="s">
        <v>23</v>
      </c>
      <c r="B167" s="25" t="s">
        <v>172</v>
      </c>
      <c r="C167" s="2" t="str">
        <f ca="1">IFERROR(__xludf.DUMMYFUNCTION("GOOGLETRANSLATE(B167, ""bn"", ""en"")"),"Nupur and Naveen have insulted the Holy Prophet, if they are not punished, they will not stop insulting Islam, they are anti-Islamic dogs.")</f>
        <v>Nupur and Naveen have insulted the Holy Prophet, if they are not punished, they will not stop insulting Islam, they are anti-Islamic dogs.</v>
      </c>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6" x14ac:dyDescent="0.3">
      <c r="A168" s="18" t="s">
        <v>5</v>
      </c>
      <c r="B168" s="24" t="s">
        <v>173</v>
      </c>
      <c r="C168" s="2" t="str">
        <f ca="1">IFERROR(__xludf.DUMMYFUNCTION("GOOGLETRANSLATE(B168, ""bn"", ""en"")"),"A religious group imposes taxes on minorities, whose houses are burned if they fail to pay; 26 people died in it.")</f>
        <v>A religious group imposes taxes on minorities, whose houses are burned if they fail to pay; 26 people died in it.</v>
      </c>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6" x14ac:dyDescent="0.3">
      <c r="A169" s="18" t="s">
        <v>5</v>
      </c>
      <c r="B169" s="24" t="s">
        <v>174</v>
      </c>
      <c r="C169" s="2" t="str">
        <f ca="1">IFERROR(__xludf.DUMMYFUNCTION("GOOGLETRANSLATE(B169, ""bn"", ""en"")"),"43 people lost their lives in the clash due to religious hatred in Sherpur. The police tried to bring peace, but the violence did not stop. The government urged people to remain calm and religiously responsible. Many of the affected minority families soug"&amp;"ht refuge due to lack of security.")</f>
        <v>43 people lost their lives in the clash due to religious hatred in Sherpur. The police tried to bring peace, but the violence did not stop. The government urged people to remain calm and religiously responsible. Many of the affected minority families sought refuge due to lack of security.</v>
      </c>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6" x14ac:dyDescent="0.3">
      <c r="A170" s="18" t="s">
        <v>23</v>
      </c>
      <c r="B170" s="25" t="s">
        <v>175</v>
      </c>
      <c r="C170" s="2" t="str">
        <f ca="1">IFERROR(__xludf.DUMMYFUNCTION("GOOGLETRANSLATE(B170, ""bn"", ""en"")"),"When the world was progressing, we were confused with hadiths and fatwas, such religious bigotry is blocking freedom of thought and progress in Bangladesh today.")</f>
        <v>When the world was progressing, we were confused with hadiths and fatwas, such religious bigotry is blocking freedom of thought and progress in Bangladesh today.</v>
      </c>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6" x14ac:dyDescent="0.3">
      <c r="A171" s="19" t="s">
        <v>5</v>
      </c>
      <c r="B171" s="26" t="s">
        <v>176</v>
      </c>
      <c r="C171" s="2" t="str">
        <f ca="1">IFERROR(__xludf.DUMMYFUNCTION("GOOGLETRANSLATE(B171, ""bn"", ""en"")"),"At Cox's Bazar, Hafiz's troops made a simultaneous attack and killed 1,000 Muslim prisoners in one day and dumped their bodies in the graveyard.")</f>
        <v>At Cox's Bazar, Hafiz's troops made a simultaneous attack and killed 1,000 Muslim prisoners in one day and dumped their bodies in the graveyard.</v>
      </c>
      <c r="D171" s="8"/>
      <c r="E171" s="8"/>
      <c r="F171" s="8"/>
      <c r="G171" s="8"/>
      <c r="H171" s="3"/>
      <c r="I171" s="3"/>
      <c r="J171" s="3"/>
      <c r="K171" s="3"/>
      <c r="L171" s="3"/>
      <c r="M171" s="3"/>
      <c r="N171" s="3"/>
      <c r="O171" s="3"/>
      <c r="P171" s="3"/>
      <c r="Q171" s="3"/>
      <c r="R171" s="3"/>
      <c r="S171" s="3"/>
      <c r="T171" s="3"/>
      <c r="U171" s="3"/>
      <c r="V171" s="3"/>
      <c r="W171" s="3"/>
      <c r="X171" s="3"/>
      <c r="Y171" s="3"/>
      <c r="Z171" s="3"/>
    </row>
    <row r="172" spans="1:26" ht="15.6" x14ac:dyDescent="0.3">
      <c r="A172" s="18" t="s">
        <v>8</v>
      </c>
      <c r="B172" s="24" t="s">
        <v>177</v>
      </c>
      <c r="C172" s="2" t="str">
        <f ca="1">IFERROR(__xludf.DUMMYFUNCTION("GOOGLETRANSLATE(B172, ""bn"", ""en"")"),"On March 25, 2024, a Vishnu temple in Bholahat of Chapainawabganj was attacked and a stone horse statue placed in front of the temple was crushed.")</f>
        <v>On March 25, 2024, a Vishnu temple in Bholahat of Chapainawabganj was attacked and a stone horse statue placed in front of the temple was crushed.</v>
      </c>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6" x14ac:dyDescent="0.3">
      <c r="A173" s="20" t="s">
        <v>8</v>
      </c>
      <c r="B173" s="25" t="s">
        <v>178</v>
      </c>
      <c r="C173" s="2" t="str">
        <f ca="1">IFERROR(__xludf.DUMMYFUNCTION("GOOGLETRANSLATE(B173, ""bn"", ""en"")"),"There is still fear in Rajshahi's Bujruk Kola, minorities are threatened to attack again, residents will boycott Durga Puja")</f>
        <v>There is still fear in Rajshahi's Bujruk Kola, minorities are threatened to attack again, residents will boycott Durga Puja</v>
      </c>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6" x14ac:dyDescent="0.3">
      <c r="A174" s="18" t="s">
        <v>5</v>
      </c>
      <c r="B174" s="25" t="s">
        <v>179</v>
      </c>
      <c r="C174" s="2" t="str">
        <f ca="1">IFERROR(__xludf.DUMMYFUNCTION("GOOGLETRANSLATE(B174, ""bn"", ""en"")"),"It refers to the cold bloodshed of over 200 unarmed Bengali Hindus in Bagbati Union of Sirajganj sub-division. After the massacre, the bodies were mass graved or dumped.")</f>
        <v>It refers to the cold bloodshed of over 200 unarmed Bengali Hindus in Bagbati Union of Sirajganj sub-division. After the massacre, the bodies were mass graved or dumped.</v>
      </c>
      <c r="D174" s="2"/>
      <c r="E174" s="2"/>
      <c r="F174" s="2"/>
      <c r="G174" s="2"/>
      <c r="H174" s="5"/>
      <c r="I174" s="5"/>
      <c r="J174" s="5"/>
      <c r="K174" s="5"/>
      <c r="L174" s="5"/>
      <c r="M174" s="5"/>
      <c r="N174" s="5"/>
      <c r="O174" s="5"/>
      <c r="P174" s="5"/>
      <c r="Q174" s="5"/>
      <c r="R174" s="5"/>
      <c r="S174" s="5"/>
      <c r="T174" s="5"/>
      <c r="U174" s="5"/>
      <c r="V174" s="5"/>
      <c r="W174" s="5"/>
      <c r="X174" s="5"/>
      <c r="Y174" s="5"/>
      <c r="Z174" s="5"/>
    </row>
    <row r="175" spans="1:26" ht="15.6" x14ac:dyDescent="0.3">
      <c r="A175" s="18" t="s">
        <v>23</v>
      </c>
      <c r="B175" s="25" t="s">
        <v>180</v>
      </c>
      <c r="C175" s="2" t="str">
        <f ca="1">IFERROR(__xludf.DUMMYFUNCTION("GOOGLETRANSLATE(B175, ""bn"", ""en"")"),"In this country, some anti-Islamic groups slander religious festivals as anti-freedom, they themselves are enemies of the nation.")</f>
        <v>In this country, some anti-Islamic groups slander religious festivals as anti-freedom, they themselves are enemies of the nation.</v>
      </c>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6" x14ac:dyDescent="0.3">
      <c r="A176" s="18" t="s">
        <v>3</v>
      </c>
      <c r="B176" s="25" t="s">
        <v>181</v>
      </c>
      <c r="C176" s="2" t="str">
        <f ca="1">IFERROR(__xludf.DUMMYFUNCTION("GOOGLETRANSLATE(B176, ""bn"", ""en"")"),"Although religious beliefs have changed in different regions of Bangladesh, religious practices have played an important role in Bengal and later when the religious influence decreased, new political ideas developed in the society.")</f>
        <v>Although religious beliefs have changed in different regions of Bangladesh, religious practices have played an important role in Bengal and later when the religious influence decreased, new political ideas developed in the society.</v>
      </c>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6" x14ac:dyDescent="0.3">
      <c r="A177" s="18" t="s">
        <v>23</v>
      </c>
      <c r="B177" s="24" t="s">
        <v>182</v>
      </c>
      <c r="C177" s="2" t="str">
        <f ca="1">IFERROR(__xludf.DUMMYFUNCTION("GOOGLETRANSLATE(B177, ""bn"", ""en"")"),"Many in the Hindu community look down on the festivals of other religions, creating serious obstacles to religious tolerance.")</f>
        <v>Many in the Hindu community look down on the festivals of other religions, creating serious obstacles to religious tolerance.</v>
      </c>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6" x14ac:dyDescent="0.3">
      <c r="A178" s="18" t="s">
        <v>23</v>
      </c>
      <c r="B178" s="25" t="s">
        <v>183</v>
      </c>
      <c r="C178" s="2" t="str">
        <f ca="1">IFERROR(__xludf.DUMMYFUNCTION("GOOGLETRANSLATE(B178, ""bn"", ""en"")"),"I demand that the real culprits be quickly arrested and brought under the law through a fair investigation and the maximum punishment. You should practice your religion, but not by insulting other religions.")</f>
        <v>I demand that the real culprits be quickly arrested and brought under the law through a fair investigation and the maximum punishment. You should practice your religion, but not by insulting other religions.</v>
      </c>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6" x14ac:dyDescent="0.3">
      <c r="A179" s="18" t="s">
        <v>8</v>
      </c>
      <c r="B179" s="25" t="s">
        <v>184</v>
      </c>
      <c r="C179" s="2" t="str">
        <f ca="1">IFERROR(__xludf.DUMMYFUNCTION("GOOGLETRANSLATE(B179, ""bn"", ""en"")"),"Human Rights Forum Bangladesh is concerned about the attack and vandalism of a school headmaster's house in Kushtia's Kumarkhali on charges of hurting religious sentiments.")</f>
        <v>Human Rights Forum Bangladesh is concerned about the attack and vandalism of a school headmaster's house in Kushtia's Kumarkhali on charges of hurting religious sentiments.</v>
      </c>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6" x14ac:dyDescent="0.3">
      <c r="A180" s="18" t="s">
        <v>5</v>
      </c>
      <c r="B180" s="25" t="s">
        <v>185</v>
      </c>
      <c r="C180" s="2" t="str">
        <f ca="1">IFERROR(__xludf.DUMMYFUNCTION("GOOGLETRANSLATE(B180, ""bn"", ""en"")"),"Meanwhile, a terrible incident of communal terrorism on October 30, 2020 shocked the entire Bangladesh. That evening Abu Yunus Md was beaten and burnt to death in Burimari market of Patgram Upazila of Lalmonirhat after raising allegations of 'desecration "&amp;"of Quran'. A person named Sahidunnabi Jewel.")</f>
        <v>Meanwhile, a terrible incident of communal terrorism on October 30, 2020 shocked the entire Bangladesh. That evening Abu Yunus Md was beaten and burnt to death in Burimari market of Patgram Upazila of Lalmonirhat after raising allegations of 'desecration of Quran'. A person named Sahidunnabi Jewel.</v>
      </c>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6" x14ac:dyDescent="0.3">
      <c r="A181" s="18" t="s">
        <v>3</v>
      </c>
      <c r="B181" s="25" t="s">
        <v>186</v>
      </c>
      <c r="C181" s="2" t="str">
        <f ca="1">IFERROR(__xludf.DUMMYFUNCTION("GOOGLETRANSLATE(B181, ""bn"", ""en"")"),"Against insulting the Koran, regardless of the group, everyone protest with a thunderous voice, it is the duty of faith!")</f>
        <v>Against insulting the Koran, regardless of the group, everyone protest with a thunderous voice, it is the duty of faith!</v>
      </c>
      <c r="D181" s="2"/>
      <c r="E181" s="2"/>
      <c r="F181" s="4"/>
      <c r="G181" s="4"/>
      <c r="H181" s="3"/>
      <c r="I181" s="3"/>
      <c r="J181" s="3"/>
      <c r="K181" s="3"/>
      <c r="L181" s="3"/>
      <c r="M181" s="3"/>
      <c r="N181" s="3"/>
      <c r="O181" s="3"/>
      <c r="P181" s="3"/>
      <c r="Q181" s="3"/>
      <c r="R181" s="3"/>
      <c r="S181" s="3"/>
      <c r="T181" s="3"/>
      <c r="U181" s="3"/>
      <c r="V181" s="3"/>
      <c r="W181" s="3"/>
      <c r="X181" s="3"/>
      <c r="Y181" s="3"/>
      <c r="Z181" s="3"/>
    </row>
    <row r="182" spans="1:26" ht="15.6" x14ac:dyDescent="0.3">
      <c r="A182" s="19" t="s">
        <v>5</v>
      </c>
      <c r="B182" s="26" t="s">
        <v>187</v>
      </c>
      <c r="C182" s="2" t="str">
        <f ca="1">IFERROR(__xludf.DUMMYFUNCTION("GOOGLETRANSLATE(B182, ""bn"", ""en"")"),"Yogendra Ghosh was brutally killed, many Hindus were injured. Hindu houses in the vicinity of Siege were looted and converted. Bimal Smrititirtha was brutally persecuted for not accepting Islam. Brahmins' head tiki were torn off and temples and idols were"&amp;" destroyed.")</f>
        <v>Yogendra Ghosh was brutally killed, many Hindus were injured. Hindu houses in the vicinity of Siege were looted and converted. Bimal Smrititirtha was brutally persecuted for not accepting Islam. Brahmins' head tiki were torn off and temples and idols were destroyed.</v>
      </c>
      <c r="D182" s="7"/>
      <c r="E182" s="7"/>
      <c r="F182" s="7"/>
      <c r="G182" s="7"/>
      <c r="H182" s="7"/>
      <c r="I182" s="7"/>
      <c r="J182" s="7"/>
      <c r="K182" s="7"/>
      <c r="L182" s="7"/>
      <c r="M182" s="7"/>
      <c r="N182" s="7"/>
      <c r="O182" s="7"/>
      <c r="P182" s="7"/>
      <c r="Q182" s="7"/>
      <c r="R182" s="7"/>
      <c r="S182" s="7"/>
      <c r="T182" s="7"/>
      <c r="U182" s="7"/>
      <c r="V182" s="7"/>
      <c r="W182" s="5"/>
      <c r="X182" s="5"/>
      <c r="Y182" s="5"/>
      <c r="Z182" s="5"/>
    </row>
    <row r="183" spans="1:26" ht="15.6" x14ac:dyDescent="0.3">
      <c r="A183" s="19" t="s">
        <v>23</v>
      </c>
      <c r="B183" s="26" t="s">
        <v>188</v>
      </c>
      <c r="C183" s="2" t="str">
        <f ca="1">IFERROR(__xludf.DUMMYFUNCTION("GOOGLETRANSLATE(B183, ""bn"", ""en"")"),"If one respects one's own religion, one cannot make such bad comments about other religions. Even though I am orthodox, I hesitate to say that these days.")</f>
        <v>If one respects one's own religion, one cannot make such bad comments about other religions. Even though I am orthodox, I hesitate to say that these days.</v>
      </c>
      <c r="D183" s="7"/>
      <c r="E183" s="7"/>
      <c r="F183" s="7"/>
      <c r="G183" s="7"/>
      <c r="H183" s="7"/>
      <c r="I183" s="7"/>
      <c r="J183" s="7"/>
      <c r="K183" s="5"/>
      <c r="L183" s="5"/>
      <c r="M183" s="5"/>
      <c r="N183" s="5"/>
      <c r="O183" s="5"/>
      <c r="P183" s="5"/>
      <c r="Q183" s="5"/>
      <c r="R183" s="5"/>
      <c r="S183" s="5"/>
      <c r="T183" s="5"/>
      <c r="U183" s="5"/>
      <c r="V183" s="5"/>
      <c r="W183" s="5"/>
      <c r="X183" s="5"/>
      <c r="Y183" s="5"/>
      <c r="Z183" s="5"/>
    </row>
    <row r="184" spans="1:26" ht="15.6" x14ac:dyDescent="0.3">
      <c r="A184" s="18" t="s">
        <v>23</v>
      </c>
      <c r="B184" s="25" t="s">
        <v>189</v>
      </c>
      <c r="C184" s="2" t="str">
        <f ca="1">IFERROR(__xludf.DUMMYFUNCTION("GOOGLETRANSLATE(B184, ""bn"", ""en"")"),"Akramuzzaman will be arrested for making bad comments about the sanctity and religious dignity of Shabbat")</f>
        <v>Akramuzzaman will be arrested for making bad comments about the sanctity and religious dignity of Shabbat</v>
      </c>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6" x14ac:dyDescent="0.3">
      <c r="A185" s="19" t="s">
        <v>8</v>
      </c>
      <c r="B185" s="26" t="s">
        <v>190</v>
      </c>
      <c r="C185" s="2" t="str">
        <f ca="1">IFERROR(__xludf.DUMMYFUNCTION("GOOGLETRANSLATE(B185, ""bn"", ""en"")"),"In a video message after the attack, the attacker said, Allahu Akbar. My name is Abdesalem Al Gilani and I am a warrior of Allah.")</f>
        <v>In a video message after the attack, the attacker said, Allahu Akbar. My name is Abdesalem Al Gilani and I am a warrior of Allah.</v>
      </c>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6" x14ac:dyDescent="0.3">
      <c r="A186" s="19" t="s">
        <v>8</v>
      </c>
      <c r="B186" s="26" t="s">
        <v>191</v>
      </c>
      <c r="C186" s="2" t="str">
        <f ca="1">IFERROR(__xludf.DUMMYFUNCTION("GOOGLETRANSLATE(B186, ""bn"", ""en"")"),"They basically said that the case of desecration of the Qur'an amounts to incitement to violence and called for accountability to the governments of the countries concerned. Apart from this, ordinary Muslims protested on the streets in several countries.")</f>
        <v>They basically said that the case of desecration of the Qur'an amounts to incitement to violence and called for accountability to the governments of the countries concerned. Apart from this, ordinary Muslims protested on the streets in several countries.</v>
      </c>
      <c r="D186" s="7"/>
      <c r="E186" s="5"/>
      <c r="F186" s="5"/>
      <c r="G186" s="5"/>
      <c r="H186" s="5"/>
      <c r="I186" s="5"/>
      <c r="J186" s="5"/>
      <c r="K186" s="5"/>
      <c r="L186" s="5"/>
      <c r="M186" s="5"/>
      <c r="N186" s="5"/>
      <c r="O186" s="5"/>
      <c r="P186" s="5"/>
      <c r="Q186" s="5"/>
      <c r="R186" s="5"/>
      <c r="S186" s="5"/>
      <c r="T186" s="5"/>
      <c r="U186" s="5"/>
      <c r="V186" s="5"/>
      <c r="W186" s="5"/>
      <c r="X186" s="5"/>
      <c r="Y186" s="5"/>
      <c r="Z186" s="5"/>
    </row>
    <row r="187" spans="1:26" ht="15.6" x14ac:dyDescent="0.3">
      <c r="A187" s="18" t="s">
        <v>3</v>
      </c>
      <c r="B187" s="25" t="s">
        <v>192</v>
      </c>
      <c r="C187" s="2" t="str">
        <f ca="1">IFERROR(__xludf.DUMMYFUNCTION("GOOGLETRANSLATE(B187, ""bn"", ""en"")"),"Instead of running after the world, it is necessary to employ all the forces behind the hereafter. Then both the world and the hereafter will be found.")</f>
        <v>Instead of running after the world, it is necessary to employ all the forces behind the hereafter. Then both the world and the hereafter will be found.</v>
      </c>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6" x14ac:dyDescent="0.3">
      <c r="A188" s="19" t="s">
        <v>3</v>
      </c>
      <c r="B188" s="26" t="s">
        <v>193</v>
      </c>
      <c r="C188" s="2" t="str">
        <f ca="1">IFERROR(__xludf.DUMMYFUNCTION("GOOGLETRANSLATE(B188, ""bn"", ""en"")"),"In a statement that night, ISKCON Bangladesh said that as a traditional organization, they work to protect the religious freedom and rights of minority communities in Bangladesh, such as Hindus, Buddhists, Christians and others.")</f>
        <v>In a statement that night, ISKCON Bangladesh said that as a traditional organization, they work to protect the religious freedom and rights of minority communities in Bangladesh, such as Hindus, Buddhists, Christians and others.</v>
      </c>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6" x14ac:dyDescent="0.3">
      <c r="A189" s="18" t="s">
        <v>3</v>
      </c>
      <c r="B189" s="25" t="s">
        <v>194</v>
      </c>
      <c r="C189" s="2" t="str">
        <f ca="1">IFERROR(__xludf.DUMMYFUNCTION("GOOGLETRANSLATE(B189, ""bn"", ""en"")"),"Bangladesh needs a religious, courageous and patriotic leader, who will take the country forward on the right path with the grace of Allah and work for the welfare of the people, Inshallah.")</f>
        <v>Bangladesh needs a religious, courageous and patriotic leader, who will take the country forward on the right path with the grace of Allah and work for the welfare of the people, Inshallah.</v>
      </c>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6" x14ac:dyDescent="0.3">
      <c r="A190" s="18" t="s">
        <v>3</v>
      </c>
      <c r="B190" s="24" t="s">
        <v>195</v>
      </c>
      <c r="C190" s="2" t="str">
        <f ca="1">IFERROR(__xludf.DUMMYFUNCTION("GOOGLETRANSLATE(B190, ""bn"", ""en"")"),"Respect and tolerance are important for religious coexistence.")</f>
        <v>Respect and tolerance are important for religious coexistence.</v>
      </c>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6" x14ac:dyDescent="0.3">
      <c r="A191" s="19" t="s">
        <v>3</v>
      </c>
      <c r="B191" s="26" t="s">
        <v>196</v>
      </c>
      <c r="C191" s="2" t="str">
        <f ca="1">IFERROR(__xludf.DUMMYFUNCTION("GOOGLETRANSLATE(B191, ""bn"", ""en"")"),"If Allah wills, He can forgive the suicide victim in the Maidan of Hashar, because He forgives sins other than Shirk.")</f>
        <v>If Allah wills, He can forgive the suicide victim in the Maidan of Hashar, because He forgives sins other than Shirk.</v>
      </c>
      <c r="D191" s="7"/>
      <c r="E191" s="7"/>
      <c r="F191" s="7"/>
      <c r="G191" s="7"/>
      <c r="H191" s="7"/>
      <c r="I191" s="7"/>
      <c r="J191" s="5"/>
      <c r="K191" s="5"/>
      <c r="L191" s="5"/>
      <c r="M191" s="5"/>
      <c r="N191" s="5"/>
      <c r="O191" s="5"/>
      <c r="P191" s="5"/>
      <c r="Q191" s="5"/>
      <c r="R191" s="5"/>
      <c r="S191" s="5"/>
      <c r="T191" s="5"/>
      <c r="U191" s="5"/>
      <c r="V191" s="5"/>
      <c r="W191" s="5"/>
      <c r="X191" s="5"/>
      <c r="Y191" s="5"/>
      <c r="Z191" s="5"/>
    </row>
    <row r="192" spans="1:26" ht="15.6" x14ac:dyDescent="0.3">
      <c r="A192" s="19" t="s">
        <v>5</v>
      </c>
      <c r="B192" s="26" t="s">
        <v>197</v>
      </c>
      <c r="C192" s="2" t="str">
        <f ca="1">IFERROR(__xludf.DUMMYFUNCTION("GOOGLETRANSLATE(B192, ""bn"", ""en"")"),"Muslim killers brutally killed at least 200-300 Hindus at Khulna Launch Ghat. [9] Muslims destroyed every Hindu town and village on both sides of the road from Khulna to Chalan. On January 4, Hindu pogroms spread to Mongla. [7] 300 Hindus were brutally ki"&amp;"lled at Mongla port.")</f>
        <v>Muslim killers brutally killed at least 200-300 Hindus at Khulna Launch Ghat. [9] Muslims destroyed every Hindu town and village on both sides of the road from Khulna to Chalan. On January 4, Hindu pogroms spread to Mongla. [7] 300 Hindus were brutally killed at Mongla port.</v>
      </c>
      <c r="D192" s="7"/>
      <c r="E192" s="7"/>
      <c r="F192" s="7"/>
      <c r="G192" s="7"/>
      <c r="H192" s="7"/>
      <c r="I192" s="7"/>
      <c r="J192" s="5"/>
      <c r="K192" s="5"/>
      <c r="L192" s="5"/>
      <c r="M192" s="5"/>
      <c r="N192" s="5"/>
      <c r="O192" s="5"/>
      <c r="P192" s="5"/>
      <c r="Q192" s="5"/>
      <c r="R192" s="5"/>
      <c r="S192" s="5"/>
      <c r="T192" s="5"/>
      <c r="U192" s="5"/>
      <c r="V192" s="5"/>
      <c r="W192" s="5"/>
      <c r="X192" s="5"/>
      <c r="Y192" s="5"/>
      <c r="Z192" s="5"/>
    </row>
    <row r="193" spans="1:26" ht="15.6" x14ac:dyDescent="0.3">
      <c r="A193" s="18" t="s">
        <v>3</v>
      </c>
      <c r="B193" s="25" t="s">
        <v>198</v>
      </c>
      <c r="C193" s="2" t="str">
        <f ca="1">IFERROR(__xludf.DUMMYFUNCTION("GOOGLETRANSLATE(B193, ""bn"", ""en"")"),"The lack of central control among Baptist churches allows for variation in religious beliefs and practices, reflecting their own religious interpretation and freedom.")</f>
        <v>The lack of central control among Baptist churches allows for variation in religious beliefs and practices, reflecting their own religious interpretation and freedom.</v>
      </c>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6" x14ac:dyDescent="0.3">
      <c r="A194" s="18" t="s">
        <v>8</v>
      </c>
      <c r="B194" s="25" t="s">
        <v>199</v>
      </c>
      <c r="C194" s="2" t="str">
        <f ca="1">IFERROR(__xludf.DUMMYFUNCTION("GOOGLETRANSLATE(B194, ""bn"", ""en"")"),"Minority Hindus are often attacked by religious extremists. Christian missionaries often try to force them to convert, which is an example of direct religious persecution.")</f>
        <v>Minority Hindus are often attacked by religious extremists. Christian missionaries often try to force them to convert, which is an example of direct religious persecution.</v>
      </c>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6" x14ac:dyDescent="0.3">
      <c r="A195" s="18" t="s">
        <v>5</v>
      </c>
      <c r="B195" s="25" t="s">
        <v>200</v>
      </c>
      <c r="C195" s="2" t="str">
        <f ca="1">IFERROR(__xludf.DUMMYFUNCTION("GOOGLETRANSLATE(B195, ""bn"", ""en"")"),"Three people lost their lives in religious violence in Bangladesh from August to December. Several temples and Hindu homes were also attacked and set on fire during this period.")</f>
        <v>Three people lost their lives in religious violence in Bangladesh from August to December. Several temples and Hindu homes were also attacked and set on fire during this period.</v>
      </c>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6" x14ac:dyDescent="0.3">
      <c r="A196" s="19" t="s">
        <v>3</v>
      </c>
      <c r="B196" s="26" t="s">
        <v>201</v>
      </c>
      <c r="C196" s="2" t="str">
        <f ca="1">IFERROR(__xludf.DUMMYFUNCTION("GOOGLETRANSLATE(B196, ""bn"", ""en"")"),"I like Chanchal Chowdhury by his acting, not considering whether he is Hindu or Muslim.")</f>
        <v>I like Chanchal Chowdhury by his acting, not considering whether he is Hindu or Muslim.</v>
      </c>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6" x14ac:dyDescent="0.3">
      <c r="A197" s="18" t="s">
        <v>23</v>
      </c>
      <c r="B197" s="25" t="s">
        <v>202</v>
      </c>
      <c r="C197" s="2" t="str">
        <f ca="1">IFERROR(__xludf.DUMMYFUNCTION("GOOGLETRANSLATE(B197, ""bn"", ""en"")"),"Despite the commitment to religious human rights, worldwide religious persecution is increasing at an alarming rate. Although it is difficult to accurately determine the number of people persecuted for religion or belief, violations of religious freedom a"&amp;"nd serious persecution are widespread.")</f>
        <v>Despite the commitment to religious human rights, worldwide religious persecution is increasing at an alarming rate. Although it is difficult to accurately determine the number of people persecuted for religion or belief, violations of religious freedom and serious persecution are widespread.</v>
      </c>
      <c r="D197" s="6"/>
      <c r="E197" s="6"/>
      <c r="F197" s="6"/>
      <c r="G197" s="6"/>
      <c r="H197" s="3"/>
      <c r="I197" s="3"/>
      <c r="J197" s="3"/>
      <c r="K197" s="3"/>
      <c r="L197" s="3"/>
      <c r="M197" s="3"/>
      <c r="N197" s="3"/>
      <c r="O197" s="3"/>
      <c r="P197" s="3"/>
      <c r="Q197" s="3"/>
      <c r="R197" s="3"/>
      <c r="S197" s="3"/>
      <c r="T197" s="3"/>
      <c r="U197" s="3"/>
      <c r="V197" s="3"/>
      <c r="W197" s="3"/>
      <c r="X197" s="3"/>
      <c r="Y197" s="3"/>
      <c r="Z197" s="3"/>
    </row>
    <row r="198" spans="1:26" ht="15.6" x14ac:dyDescent="0.3">
      <c r="A198" s="18" t="s">
        <v>23</v>
      </c>
      <c r="B198" s="25" t="s">
        <v>203</v>
      </c>
      <c r="C198" s="2" t="str">
        <f ca="1">IFERROR(__xludf.DUMMYFUNCTION("GOOGLETRANSLATE(B198, ""bn"", ""en"")"),"My headache is caused by the most respected man of your religion who, 1400 years before your birth, stood up in prayer all night and wept for your forgiveness.")</f>
        <v>My headache is caused by the most respected man of your religion who, 1400 years before your birth, stood up in prayer all night and wept for your forgiveness.</v>
      </c>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6" x14ac:dyDescent="0.3">
      <c r="A199" s="18" t="s">
        <v>23</v>
      </c>
      <c r="B199" s="25" t="s">
        <v>204</v>
      </c>
      <c r="C199" s="2" t="str">
        <f ca="1">IFERROR(__xludf.DUMMYFUNCTION("GOOGLETRANSLATE(B199, ""bn"", ""en"")"),"Burning flags and scriptures is the same crime. Now if you talk excessively about the scriptures, you will understand that Muslims are really fanatics")</f>
        <v>Burning flags and scriptures is the same crime. Now if you talk excessively about the scriptures, you will understand that Muslims are really fanatics</v>
      </c>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6" x14ac:dyDescent="0.3">
      <c r="A200" s="18" t="s">
        <v>8</v>
      </c>
      <c r="B200" s="25" t="s">
        <v>205</v>
      </c>
      <c r="C200" s="2" t="str">
        <f ca="1">IFERROR(__xludf.DUMMYFUNCTION("GOOGLETRANSLATE(B200, ""bn"", ""en"")"),"Calling it a religious incitement, the people of four neighboring villages staged a protest march against Jhumon on the night of March 16. To bring the situation under control, the people of Noagaon village arrested the young man at night. On the morning "&amp;"of March 17, an attack was announced from the microphone of Kashipur village mosque to Noagaon village.")</f>
        <v>Calling it a religious incitement, the people of four neighboring villages staged a protest march against Jhumon on the night of March 16. To bring the situation under control, the people of Noagaon village arrested the young man at night. On the morning of March 17, an attack was announced from the microphone of Kashipur village mosque to Noagaon village.</v>
      </c>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6" x14ac:dyDescent="0.3">
      <c r="A201" s="19" t="s">
        <v>3</v>
      </c>
      <c r="B201" s="26" t="s">
        <v>206</v>
      </c>
      <c r="C201" s="2" t="str">
        <f ca="1">IFERROR(__xludf.DUMMYFUNCTION("GOOGLETRANSLATE(B201, ""bn"", ""en"")"),"Jainism's motto is 'Ahimsa paramo dharma', which means kindness to all living beings is the highest religion.")</f>
        <v>Jainism's motto is 'Ahimsa paramo dharma', which means kindness to all living beings is the highest religion.</v>
      </c>
      <c r="D201" s="7"/>
      <c r="E201" s="7"/>
      <c r="F201" s="5"/>
      <c r="G201" s="5"/>
      <c r="H201" s="5"/>
      <c r="I201" s="5"/>
      <c r="J201" s="5"/>
      <c r="K201" s="5"/>
      <c r="L201" s="5"/>
      <c r="M201" s="5"/>
      <c r="N201" s="5"/>
      <c r="O201" s="5"/>
      <c r="P201" s="5"/>
      <c r="Q201" s="5"/>
      <c r="R201" s="5"/>
      <c r="S201" s="5"/>
      <c r="T201" s="5"/>
      <c r="U201" s="5"/>
      <c r="V201" s="5"/>
      <c r="W201" s="5"/>
      <c r="X201" s="5"/>
      <c r="Y201" s="5"/>
      <c r="Z201" s="5"/>
    </row>
    <row r="202" spans="1:26" ht="15.6" x14ac:dyDescent="0.3">
      <c r="A202" s="18" t="s">
        <v>8</v>
      </c>
      <c r="B202" s="25" t="s">
        <v>207</v>
      </c>
      <c r="C202" s="2" t="str">
        <f ca="1">IFERROR(__xludf.DUMMYFUNCTION("GOOGLETRANSLATE(B202, ""bn"", ""en"")"),"In 1962, during religious riots in Darusa village of Rajshahi, Hindu houses were set on fire. To deal with religious tensions, Hindu Muslims formed a peace committee.")</f>
        <v>In 1962, during religious riots in Darusa village of Rajshahi, Hindu houses were set on fire. To deal with religious tensions, Hindu Muslims formed a peace committee.</v>
      </c>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6" x14ac:dyDescent="0.3">
      <c r="A203" s="18" t="s">
        <v>5</v>
      </c>
      <c r="B203" s="24" t="s">
        <v>208</v>
      </c>
      <c r="C203" s="2" t="str">
        <f ca="1">IFERROR(__xludf.DUMMYFUNCTION("GOOGLETRANSLATE(B203, ""bn"", ""en"")"),"In February 2019, a doctor was hacked to death over religious dissent; His wife committed suicide due to mental breakdown; A total of 11 people were killed in the incident.")</f>
        <v>In February 2019, a doctor was hacked to death over religious dissent; His wife committed suicide due to mental breakdown; A total of 11 people were killed in the incident.</v>
      </c>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6" x14ac:dyDescent="0.3">
      <c r="A204" s="19" t="s">
        <v>3</v>
      </c>
      <c r="B204" s="26" t="s">
        <v>209</v>
      </c>
      <c r="C204" s="2" t="str">
        <f ca="1">IFERROR(__xludf.DUMMYFUNCTION("GOOGLETRANSLATE(B204, ""bn"", ""en"")"),"Well, since idol worship was invented or started in Hinduism in ancient times, various gods and goddesses were worshiped and worshiped by drawing Yantras, I want a detailed podcast on this.")</f>
        <v>Well, since idol worship was invented or started in Hinduism in ancient times, various gods and goddesses were worshiped and worshiped by drawing Yantras, I want a detailed podcast on this.</v>
      </c>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6" x14ac:dyDescent="0.3">
      <c r="A205" s="19" t="s">
        <v>5</v>
      </c>
      <c r="B205" s="26" t="s">
        <v>210</v>
      </c>
      <c r="C205" s="2" t="str">
        <f ca="1">IFERROR(__xludf.DUMMYFUNCTION("GOOGLETRANSLATE(B205, ""bn"", ""en"")"),"Many Hindu women were raped and thousands of Hindus converted on that day.")</f>
        <v>Many Hindu women were raped and thousands of Hindus converted on that day.</v>
      </c>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6" x14ac:dyDescent="0.3">
      <c r="A206" s="18" t="s">
        <v>8</v>
      </c>
      <c r="B206" s="25" t="s">
        <v>211</v>
      </c>
      <c r="C206" s="2" t="str">
        <f ca="1">IFERROR(__xludf.DUMMYFUNCTION("GOOGLETRANSLATE(B206, ""bn"", ""en"")"),"At noon, slogans of 'Kill Hindus' rose from the Muslim procession. In the afternoon the killing of Hindus started. Religious violence continued for four hours, evening law was issued at 8 pm.")</f>
        <v>At noon, slogans of 'Kill Hindus' rose from the Muslim procession. In the afternoon the killing of Hindus started. Religious violence continued for four hours, evening law was issued at 8 pm.</v>
      </c>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6" x14ac:dyDescent="0.3">
      <c r="A207" s="19" t="s">
        <v>23</v>
      </c>
      <c r="B207" s="26" t="s">
        <v>212</v>
      </c>
      <c r="C207" s="2" t="str">
        <f ca="1">IFERROR(__xludf.DUMMYFUNCTION("GOOGLETRANSLATE(B207, ""bn"", ""en"")"),"I can't accept insults with greetings. I have not yet become your civil servant. Do not talk bad about Islam.")</f>
        <v>I can't accept insults with greetings. I have not yet become your civil servant. Do not talk bad about Islam.</v>
      </c>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6" x14ac:dyDescent="0.3">
      <c r="A208" s="18" t="s">
        <v>8</v>
      </c>
      <c r="B208" s="25" t="s">
        <v>213</v>
      </c>
      <c r="C208" s="2" t="str">
        <f ca="1">IFERROR(__xludf.DUMMYFUNCTION("GOOGLETRANSLATE(B208, ""bn"", ""en"")"),"Minority Hindus are under attack again in the face of shardotsav of minorities. On Monday night, miscreants vandalized the idol of Durga in Tambulkhana market of Kaijuri union of Faridpur upazila.")</f>
        <v>Minority Hindus are under attack again in the face of shardotsav of minorities. On Monday night, miscreants vandalized the idol of Durga in Tambulkhana market of Kaijuri union of Faridpur upazila.</v>
      </c>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6" x14ac:dyDescent="0.3">
      <c r="A209" s="18" t="s">
        <v>8</v>
      </c>
      <c r="B209" s="25" t="s">
        <v>214</v>
      </c>
      <c r="C209" s="2" t="str">
        <f ca="1">IFERROR(__xludf.DUMMYFUNCTION("GOOGLETRANSLATE(B209, ""bn"", ""en"")"),"A police station was set ablaze by angry mobs on charges of insulting religion. The incident took place in Kurigram district in the northern part of the country on Sunday local time.")</f>
        <v>A police station was set ablaze by angry mobs on charges of insulting religion. The incident took place in Kurigram district in the northern part of the country on Sunday local time.</v>
      </c>
      <c r="D209" s="2"/>
      <c r="E209" s="2"/>
      <c r="F209" s="2"/>
      <c r="G209" s="2"/>
      <c r="H209" s="5"/>
      <c r="I209" s="5"/>
      <c r="J209" s="5"/>
      <c r="K209" s="5"/>
      <c r="L209" s="5"/>
      <c r="M209" s="5"/>
      <c r="N209" s="5"/>
      <c r="O209" s="5"/>
      <c r="P209" s="5"/>
      <c r="Q209" s="5"/>
      <c r="R209" s="5"/>
      <c r="S209" s="5"/>
      <c r="T209" s="5"/>
      <c r="U209" s="5"/>
      <c r="V209" s="5"/>
      <c r="W209" s="5"/>
      <c r="X209" s="5"/>
      <c r="Y209" s="5"/>
      <c r="Z209" s="5"/>
    </row>
    <row r="210" spans="1:26" ht="15.6" x14ac:dyDescent="0.3">
      <c r="A210" s="18" t="s">
        <v>23</v>
      </c>
      <c r="B210" s="25" t="s">
        <v>215</v>
      </c>
      <c r="C210" s="2" t="str">
        <f ca="1">IFERROR(__xludf.DUMMYFUNCTION("GOOGLETRANSLATE(B210, ""bn"", ""en"")"),"I wish him a horrible death who placed this great book Al Quran at the feet of the idol in the Puja Mandap at Comilla. ")</f>
        <v xml:space="preserve">I wish him a horrible death who placed this great book Al Quran at the feet of the idol in the Puja Mandap at Comilla. </v>
      </c>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6" x14ac:dyDescent="0.3">
      <c r="A211" s="18" t="s">
        <v>3</v>
      </c>
      <c r="B211" s="25" t="s">
        <v>216</v>
      </c>
      <c r="C211" s="2" t="str">
        <f ca="1">IFERROR(__xludf.DUMMYFUNCTION("GOOGLETRANSLATE(B211, ""bn"", ""en"")"),"Barefoot Buddhists blow out lanterns after reciting religious gathas or mantras. Lanterns are blown to the tune of sadhu-dhvani through chanting.")</f>
        <v>Barefoot Buddhists blow out lanterns after reciting religious gathas or mantras. Lanterns are blown to the tune of sadhu-dhvani through chanting.</v>
      </c>
      <c r="D211" s="2"/>
      <c r="E211" s="2"/>
      <c r="F211" s="2"/>
      <c r="G211" s="2"/>
      <c r="H211" s="5"/>
      <c r="I211" s="5"/>
      <c r="J211" s="5"/>
      <c r="K211" s="5"/>
      <c r="L211" s="5"/>
      <c r="M211" s="5"/>
      <c r="N211" s="5"/>
      <c r="O211" s="5"/>
      <c r="P211" s="5"/>
      <c r="Q211" s="5"/>
      <c r="R211" s="5"/>
      <c r="S211" s="5"/>
      <c r="T211" s="5"/>
      <c r="U211" s="5"/>
      <c r="V211" s="5"/>
      <c r="W211" s="5"/>
      <c r="X211" s="5"/>
      <c r="Y211" s="5"/>
      <c r="Z211" s="5"/>
    </row>
    <row r="212" spans="1:26" ht="15.6" x14ac:dyDescent="0.3">
      <c r="A212" s="18" t="s">
        <v>5</v>
      </c>
      <c r="B212" s="25" t="s">
        <v>217</v>
      </c>
      <c r="C212" s="2" t="str">
        <f ca="1">IFERROR(__xludf.DUMMYFUNCTION("GOOGLETRANSLATE(B212, ""bn"", ""en"")"),"On the morning of February 18, many girls were raped by Muslims in Sylhet Sadar area in the name of religion; Even if they want justice, the police demand money for settlement.")</f>
        <v>On the morning of February 18, many girls were raped by Muslims in Sylhet Sadar area in the name of religion; Even if they want justice, the police demand money for settlement.</v>
      </c>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6" x14ac:dyDescent="0.3">
      <c r="A213" s="18" t="s">
        <v>3</v>
      </c>
      <c r="B213" s="25" t="s">
        <v>218</v>
      </c>
      <c r="C213" s="2" t="str">
        <f ca="1">IFERROR(__xludf.DUMMYFUNCTION("GOOGLETRANSLATE(B213, ""bn"", ""en"")"),"Thank you very much for analyzing the scientific research of Al-Qur'an and the hadiths said by Rasulullah SAW and the data and analysis of the scientists of this era in such a beautiful and clear way. ")</f>
        <v xml:space="preserve">Thank you very much for analyzing the scientific research of Al-Qur'an and the hadiths said by Rasulullah SAW and the data and analysis of the scientists of this era in such a beautiful and clear way. </v>
      </c>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6" x14ac:dyDescent="0.3">
      <c r="A214" s="19" t="s">
        <v>3</v>
      </c>
      <c r="B214" s="26" t="s">
        <v>219</v>
      </c>
      <c r="C214" s="2" t="str">
        <f ca="1">IFERROR(__xludf.DUMMYFUNCTION("GOOGLETRANSLATE(B214, ""bn"", ""en"")"),"If you love Allah and His Messenger, you must be engaged in regular prayers and be madly in love with Allah to enter Paradise. Then you can be Ashek.")</f>
        <v>If you love Allah and His Messenger, you must be engaged in regular prayers and be madly in love with Allah to enter Paradise. Then you can be Ashek.</v>
      </c>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6" x14ac:dyDescent="0.3">
      <c r="A215" s="19" t="s">
        <v>8</v>
      </c>
      <c r="B215" s="26" t="s">
        <v>220</v>
      </c>
      <c r="C215" s="2" t="str">
        <f ca="1">IFERROR(__xludf.DUMMYFUNCTION("GOOGLETRANSLATE(B215, ""bn"", ""en"")"),"On March 3, the Bangladesh High Court ordered the protection of Hindus in Noakhali district and the repair of temples and houses damaged in the attack. The police and administration were asked to take action against the attackers.")</f>
        <v>On March 3, the Bangladesh High Court ordered the protection of Hindus in Noakhali district and the repair of temples and houses damaged in the attack. The police and administration were asked to take action against the attackers.</v>
      </c>
      <c r="D215" s="7"/>
      <c r="E215" s="7"/>
      <c r="F215" s="7"/>
      <c r="G215" s="7"/>
      <c r="H215" s="7"/>
      <c r="I215" s="7"/>
      <c r="J215" s="7"/>
      <c r="K215" s="7"/>
      <c r="L215" s="7"/>
      <c r="M215" s="7"/>
      <c r="N215" s="7"/>
      <c r="O215" s="5"/>
      <c r="P215" s="5"/>
      <c r="Q215" s="5"/>
      <c r="R215" s="5"/>
      <c r="S215" s="5"/>
      <c r="T215" s="5"/>
      <c r="U215" s="5"/>
      <c r="V215" s="5"/>
      <c r="W215" s="5"/>
      <c r="X215" s="5"/>
      <c r="Y215" s="5"/>
      <c r="Z215" s="5"/>
    </row>
    <row r="216" spans="1:26" ht="15.6" x14ac:dyDescent="0.3">
      <c r="A216" s="18" t="s">
        <v>3</v>
      </c>
      <c r="B216" s="25" t="s">
        <v>221</v>
      </c>
      <c r="C216" s="2" t="str">
        <f ca="1">IFERROR(__xludf.DUMMYFUNCTION("GOOGLETRANSLATE(B216, ""bn"", ""en"")"),"Before practicing religion, protection must be done first. It can be saved only by increasing Hindu followers. Many people act out of conscience because of respect for religion and nation.")</f>
        <v>Before practicing religion, protection must be done first. It can be saved only by increasing Hindu followers. Many people act out of conscience because of respect for religion and nation.</v>
      </c>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6" x14ac:dyDescent="0.3">
      <c r="A217" s="18" t="s">
        <v>5</v>
      </c>
      <c r="B217" s="24" t="s">
        <v>222</v>
      </c>
      <c r="C217" s="2" t="str">
        <f ca="1">IFERROR(__xludf.DUMMYFUNCTION("GOOGLETRANSLATE(B217, ""bn"", ""en"")"),"At least 33 people were killed and many injured in Kushtia Hindu-Muslim clashes.")</f>
        <v>At least 33 people were killed and many injured in Kushtia Hindu-Muslim clashes.</v>
      </c>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6" x14ac:dyDescent="0.3">
      <c r="A218" s="19" t="s">
        <v>23</v>
      </c>
      <c r="B218" s="26" t="s">
        <v>223</v>
      </c>
      <c r="C218" s="2" t="str">
        <f ca="1">IFERROR(__xludf.DUMMYFUNCTION("GOOGLETRANSLATE(B218, ""bn"", ""en"")"),"If your book is divisive among orthodox religions, how will other religions respect your ideology?")</f>
        <v>If your book is divisive among orthodox religions, how will other religions respect your ideology?</v>
      </c>
      <c r="D218" s="7"/>
      <c r="E218" s="7"/>
      <c r="F218" s="7"/>
      <c r="G218" s="7"/>
      <c r="H218" s="7"/>
      <c r="I218" s="5"/>
      <c r="J218" s="5"/>
      <c r="K218" s="5"/>
      <c r="L218" s="5"/>
      <c r="M218" s="5"/>
      <c r="N218" s="5"/>
      <c r="O218" s="5"/>
      <c r="P218" s="5"/>
      <c r="Q218" s="5"/>
      <c r="R218" s="5"/>
      <c r="S218" s="5"/>
      <c r="T218" s="5"/>
      <c r="U218" s="5"/>
      <c r="V218" s="5"/>
      <c r="W218" s="5"/>
      <c r="X218" s="5"/>
      <c r="Y218" s="5"/>
      <c r="Z218" s="5"/>
    </row>
    <row r="219" spans="1:26" ht="15.6" x14ac:dyDescent="0.3">
      <c r="A219" s="18" t="s">
        <v>8</v>
      </c>
      <c r="B219" s="25" t="s">
        <v>224</v>
      </c>
      <c r="C219" s="2" t="str">
        <f ca="1">IFERROR(__xludf.DUMMYFUNCTION("GOOGLETRANSLATE(B219, ""bn"", ""en"")"),"In 1949, posters against Durga Puja, the biggest religious festival of Bengali Hindus, were put up all over Dhaka region. On the day of Vijaya Dasami, hundreds of Hindu houses are lit by Muslims.")</f>
        <v>In 1949, posters against Durga Puja, the biggest religious festival of Bengali Hindus, were put up all over Dhaka region. On the day of Vijaya Dasami, hundreds of Hindu houses are lit by Muslims.</v>
      </c>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6" x14ac:dyDescent="0.3">
      <c r="A220" s="18" t="s">
        <v>3</v>
      </c>
      <c r="B220" s="25" t="s">
        <v>225</v>
      </c>
      <c r="C220" s="2" t="str">
        <f ca="1">IFERROR(__xludf.DUMMYFUNCTION("GOOGLETRANSLATE(B220, ""bn"", ""en"")"),"All people have different opinions, it is better to be patient without getting hurt if someone says something. Religion also teaches us tolerance and forgiveness. Allah sees and will judge.")</f>
        <v>All people have different opinions, it is better to be patient without getting hurt if someone says something. Religion also teaches us tolerance and forgiveness. Allah sees and will judge.</v>
      </c>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6" x14ac:dyDescent="0.3">
      <c r="A221" s="18" t="s">
        <v>5</v>
      </c>
      <c r="B221" s="24" t="s">
        <v>226</v>
      </c>
      <c r="C221" s="2" t="str">
        <f ca="1">IFERROR(__xludf.DUMMYFUNCTION("GOOGLETRANSLATE(B221, ""bn"", ""en"")"),"At least 27 people lost their lives in Hindu-Muslim clashes in Jhenaidah and firearms were used in the clashes.")</f>
        <v>At least 27 people lost their lives in Hindu-Muslim clashes in Jhenaidah and firearms were used in the clashes.</v>
      </c>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6" x14ac:dyDescent="0.3">
      <c r="A222" s="19" t="s">
        <v>5</v>
      </c>
      <c r="B222" s="26" t="s">
        <v>227</v>
      </c>
      <c r="C222" s="2" t="str">
        <f ca="1">IFERROR(__xludf.DUMMYFUNCTION("GOOGLETRANSLATE(B222, ""bn"", ""en"")"),"In October, the Muslims stopped the abominable atrocities like the Hindu massacre and forced conversions in Noakhali, but they did not stop the steamroller of oppressing the suffering Hindu population in other ways.")</f>
        <v>In October, the Muslims stopped the abominable atrocities like the Hindu massacre and forced conversions in Noakhali, but they did not stop the steamroller of oppressing the suffering Hindu population in other ways.</v>
      </c>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6" x14ac:dyDescent="0.3">
      <c r="A223" s="18" t="s">
        <v>5</v>
      </c>
      <c r="B223" s="24" t="s">
        <v>228</v>
      </c>
      <c r="C223" s="2" t="str">
        <f ca="1">IFERROR(__xludf.DUMMYFUNCTION("GOOGLETRANSLATE(B223, ""bn"", ""en"")"),"At least 5 people were killed in police firing in Kishoreganj Hindu-Muslim clash. Destruction and arson occurred during the clashes.")</f>
        <v>At least 5 people were killed in police firing in Kishoreganj Hindu-Muslim clash. Destruction and arson occurred during the clashes.</v>
      </c>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6" x14ac:dyDescent="0.3">
      <c r="A224" s="18" t="s">
        <v>3</v>
      </c>
      <c r="B224" s="25" t="s">
        <v>229</v>
      </c>
      <c r="C224" s="2" t="str">
        <f ca="1">IFERROR(__xludf.DUMMYFUNCTION("GOOGLETRANSLATE(B224, ""bn"", ""en"")"),"They base their religious beliefs on such a fictional or unrealistic character, it's not too complicated or hard to understand for me.")</f>
        <v>They base their religious beliefs on such a fictional or unrealistic character, it's not too complicated or hard to understand for me.</v>
      </c>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6" x14ac:dyDescent="0.3">
      <c r="A225" s="18" t="s">
        <v>8</v>
      </c>
      <c r="B225" s="24" t="s">
        <v>230</v>
      </c>
      <c r="C225" s="2" t="str">
        <f ca="1">IFERROR(__xludf.DUMMYFUNCTION("GOOGLETRANSLATE(B225, ""bn"", ""en"")"),"A pujamandap in Netrakona was severely attacked and every idol was smashed into rubble.")</f>
        <v>A pujamandap in Netrakona was severely attacked and every idol was smashed into rubble.</v>
      </c>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6" x14ac:dyDescent="0.3">
      <c r="A226" s="18" t="s">
        <v>8</v>
      </c>
      <c r="B226" s="25" t="s">
        <v>231</v>
      </c>
      <c r="C226" s="2" t="str">
        <f ca="1">IFERROR(__xludf.DUMMYFUNCTION("GOOGLETRANSLATE(B226, ""bn"", ""en"")"),"In Bangladesh, there have been widespread protests against religious sentiments and desecration of sacred symbols, with thousands of people taking to the streets to protest against religious insults and persecution.")</f>
        <v>In Bangladesh, there have been widespread protests against religious sentiments and desecration of sacred symbols, with thousands of people taking to the streets to protest against religious insults and persecution.</v>
      </c>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6" x14ac:dyDescent="0.3">
      <c r="A227" s="18" t="s">
        <v>3</v>
      </c>
      <c r="B227" s="25" t="s">
        <v>232</v>
      </c>
      <c r="C227" s="2" t="str">
        <f ca="1">IFERROR(__xludf.DUMMYFUNCTION("GOOGLETRANSLATE(B227, ""bn"", ""en"")"),"Different religions have sacred histories and narratives, which can be preserved in sacred books, symbols and sacred places, whose primary purpose is to give meaning to life.")</f>
        <v>Different religions have sacred histories and narratives, which can be preserved in sacred books, symbols and sacred places, whose primary purpose is to give meaning to life.</v>
      </c>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6" x14ac:dyDescent="0.3">
      <c r="A228" s="18" t="s">
        <v>3</v>
      </c>
      <c r="B228" s="25" t="s">
        <v>233</v>
      </c>
      <c r="C228" s="2" t="str">
        <f ca="1">IFERROR(__xludf.DUMMYFUNCTION("GOOGLETRANSLATE(B228, ""bn"", ""en"")"),"Although many sectarian movements have arisen within Islam, all Muslims are bound by a common faith and sense of belonging to a single community.")</f>
        <v>Although many sectarian movements have arisen within Islam, all Muslims are bound by a common faith and sense of belonging to a single community.</v>
      </c>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6" x14ac:dyDescent="0.3">
      <c r="A229" s="18" t="s">
        <v>3</v>
      </c>
      <c r="B229" s="24" t="s">
        <v>234</v>
      </c>
      <c r="C229" s="2" t="str">
        <f ca="1">IFERROR(__xludf.DUMMYFUNCTION("GOOGLETRANSLATE(B229, ""bn"", ""en"")"),"Praying not only asks God for something, but also establishes a connection with one's own soul.")</f>
        <v>Praying not only asks God for something, but also establishes a connection with one's own soul.</v>
      </c>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6" x14ac:dyDescent="0.3">
      <c r="A230" s="18" t="s">
        <v>5</v>
      </c>
      <c r="B230" s="24" t="s">
        <v>235</v>
      </c>
      <c r="C230" s="2" t="str">
        <f ca="1">IFERROR(__xludf.DUMMYFUNCTION("GOOGLETRANSLATE(B230, ""bn"", ""en"")"),"At least 37 people were killed in an attack on the minority Hindu community by religious extremism in Jhalkathi.")</f>
        <v>At least 37 people were killed in an attack on the minority Hindu community by religious extremism in Jhalkathi.</v>
      </c>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6" x14ac:dyDescent="0.3">
      <c r="A231" s="18" t="s">
        <v>3</v>
      </c>
      <c r="B231" s="25" t="s">
        <v>236</v>
      </c>
      <c r="C231" s="2" t="str">
        <f ca="1">IFERROR(__xludf.DUMMYFUNCTION("GOOGLETRANSLATE(B231, ""bn"", ""en"")"),"Gautama Buddha said that there is no God or God except the one and only Creator, who resides in his highest dimension and controls all other dimensions.")</f>
        <v>Gautama Buddha said that there is no God or God except the one and only Creator, who resides in his highest dimension and controls all other dimensions.</v>
      </c>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6" x14ac:dyDescent="0.3">
      <c r="A232" s="18" t="s">
        <v>5</v>
      </c>
      <c r="B232" s="24" t="s">
        <v>237</v>
      </c>
      <c r="C232" s="2" t="str">
        <f ca="1">IFERROR(__xludf.DUMMYFUNCTION("GOOGLETRANSLATE(B232, ""bn"", ""en"")"),"Clashes erupted from communal tensions between Hindus and Muslims in Faridpur. 31 people were killed and many injured in the clash.")</f>
        <v>Clashes erupted from communal tensions between Hindus and Muslims in Faridpur. 31 people were killed and many injured in the clash.</v>
      </c>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6" x14ac:dyDescent="0.3">
      <c r="A233" s="18" t="s">
        <v>8</v>
      </c>
      <c r="B233" s="25" t="s">
        <v>238</v>
      </c>
      <c r="C233" s="2" t="str">
        <f ca="1">IFERROR(__xludf.DUMMYFUNCTION("GOOGLETRANSLATE(B233, ""bn"", ""en"")"),"The attack was carried out on 30 October 2016 by a Hindu jailer, Rasraj Das, who allegedly posted anti-Islam posts. 19 temples were attacked and around 300 houses were vandalized and over 100 Hindus were injured.")</f>
        <v>The attack was carried out on 30 October 2016 by a Hindu jailer, Rasraj Das, who allegedly posted anti-Islam posts. 19 temples were attacked and around 300 houses were vandalized and over 100 Hindus were injured.</v>
      </c>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6" x14ac:dyDescent="0.3">
      <c r="A234" s="18" t="s">
        <v>5</v>
      </c>
      <c r="B234" s="26" t="s">
        <v>239</v>
      </c>
      <c r="C234" s="2" t="str">
        <f ca="1">IFERROR(__xludf.DUMMYFUNCTION("GOOGLETRANSLATE(B234, ""bn"", ""en"")"),"History is a witness, there have been many massacres in the name of religious differences where innocent people lost their lives, even today there are incidents of killings due to religious identity in different places including Bangladesh.")</f>
        <v>History is a witness, there have been many massacres in the name of religious differences where innocent people lost their lives, even today there are incidents of killings due to religious identity in different places including Bangladesh.</v>
      </c>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6" x14ac:dyDescent="0.3">
      <c r="A235" s="19" t="s">
        <v>8</v>
      </c>
      <c r="B235" s="26" t="s">
        <v>240</v>
      </c>
      <c r="C235" s="2" t="str">
        <f ca="1">IFERROR(__xludf.DUMMYFUNCTION("GOOGLETRANSLATE(B235, ""bn"", ""en"")"),"Mr. Ahmad said, Hindu homes and temples were attacked after allegations of blasphemy on Facebook, the incident in Narail is similar.")</f>
        <v>Mr. Ahmad said, Hindu homes and temples were attacked after allegations of blasphemy on Facebook, the incident in Narail is similar.</v>
      </c>
      <c r="D235" s="7"/>
      <c r="E235" s="7"/>
      <c r="F235" s="7"/>
      <c r="G235" s="7"/>
      <c r="H235" s="7"/>
      <c r="I235" s="7"/>
      <c r="J235" s="5"/>
      <c r="K235" s="5"/>
      <c r="L235" s="5"/>
      <c r="M235" s="5"/>
      <c r="N235" s="5"/>
      <c r="O235" s="5"/>
      <c r="P235" s="5"/>
      <c r="Q235" s="5"/>
      <c r="R235" s="5"/>
      <c r="S235" s="5"/>
      <c r="T235" s="5"/>
      <c r="U235" s="5"/>
      <c r="V235" s="5"/>
      <c r="W235" s="5"/>
      <c r="X235" s="5"/>
      <c r="Y235" s="5"/>
      <c r="Z235" s="5"/>
    </row>
    <row r="236" spans="1:26" ht="15.6" x14ac:dyDescent="0.3">
      <c r="A236" s="18" t="s">
        <v>3</v>
      </c>
      <c r="B236" s="25" t="s">
        <v>241</v>
      </c>
      <c r="C236" s="2" t="str">
        <f ca="1">IFERROR(__xludf.DUMMYFUNCTION("GOOGLETRANSLATE(B236, ""bn"", ""en"")"),"No religion can be insulted. I am Muslim But I also respect the Hindu brothers. We will unite Hindus and Muslims to build a beautiful country.")</f>
        <v>No religion can be insulted. I am Muslim But I also respect the Hindu brothers. We will unite Hindus and Muslims to build a beautiful country.</v>
      </c>
      <c r="D236" s="2"/>
      <c r="E236" s="2"/>
      <c r="F236" s="2"/>
      <c r="G236" s="2"/>
      <c r="H236" s="5"/>
      <c r="I236" s="5"/>
      <c r="J236" s="5"/>
      <c r="K236" s="5"/>
      <c r="L236" s="5"/>
      <c r="M236" s="5"/>
      <c r="N236" s="5"/>
      <c r="O236" s="5"/>
      <c r="P236" s="5"/>
      <c r="Q236" s="5"/>
      <c r="R236" s="5"/>
      <c r="S236" s="5"/>
      <c r="T236" s="5"/>
      <c r="U236" s="5"/>
      <c r="V236" s="5"/>
      <c r="W236" s="5"/>
      <c r="X236" s="5"/>
      <c r="Y236" s="5"/>
      <c r="Z236" s="5"/>
    </row>
    <row r="237" spans="1:26" ht="15.6" x14ac:dyDescent="0.3">
      <c r="A237" s="18" t="s">
        <v>23</v>
      </c>
      <c r="B237" s="24" t="s">
        <v>242</v>
      </c>
      <c r="C237" s="2" t="str">
        <f ca="1">IFERROR(__xludf.DUMMYFUNCTION("GOOGLETRANSLATE(B237, ""bn"", ""en"")"),"Some sections of the Hindu community spread religious fanaticism and show hatred and contempt for other religions.")</f>
        <v>Some sections of the Hindu community spread religious fanaticism and show hatred and contempt for other religions.</v>
      </c>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6" x14ac:dyDescent="0.3">
      <c r="A238" s="19" t="s">
        <v>8</v>
      </c>
      <c r="B238" s="26" t="s">
        <v>243</v>
      </c>
      <c r="C238" s="2" t="str">
        <f ca="1">IFERROR(__xludf.DUMMYFUNCTION("GOOGLETRANSLATE(B238, ""bn"", ""en"")"),"In the 2016 communal violence in Nasirnagar, Islamic extremists attacked the minority Hindu community.")</f>
        <v>In the 2016 communal violence in Nasirnagar, Islamic extremists attacked the minority Hindu community.</v>
      </c>
      <c r="D238" s="7"/>
      <c r="E238" s="7"/>
      <c r="F238" s="7"/>
      <c r="G238" s="7"/>
      <c r="H238" s="7"/>
      <c r="I238" s="5"/>
      <c r="J238" s="5"/>
      <c r="K238" s="5"/>
      <c r="L238" s="5"/>
      <c r="M238" s="5"/>
      <c r="N238" s="5"/>
      <c r="O238" s="5"/>
      <c r="P238" s="5"/>
      <c r="Q238" s="5"/>
      <c r="R238" s="5"/>
      <c r="S238" s="5"/>
      <c r="T238" s="5"/>
      <c r="U238" s="5"/>
      <c r="V238" s="5"/>
      <c r="W238" s="5"/>
      <c r="X238" s="5"/>
      <c r="Y238" s="5"/>
      <c r="Z238" s="5"/>
    </row>
    <row r="239" spans="1:26" ht="15.6" x14ac:dyDescent="0.3">
      <c r="A239" s="18" t="s">
        <v>23</v>
      </c>
      <c r="B239" s="24" t="s">
        <v>244</v>
      </c>
      <c r="C239" s="2" t="str">
        <f ca="1">IFERROR(__xludf.DUMMYFUNCTION("GOOGLETRANSLATE(B239, ""bn"", ""en"")"),"Some groups in the Christian community are trying to destroy local culture and traditions in the name of conversion, which is breaking the unity of the country.")</f>
        <v>Some groups in the Christian community are trying to destroy local culture and traditions in the name of conversion, which is breaking the unity of the country.</v>
      </c>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6" x14ac:dyDescent="0.3">
      <c r="A240" s="18" t="s">
        <v>8</v>
      </c>
      <c r="B240" s="24" t="s">
        <v>245</v>
      </c>
      <c r="C240" s="2" t="str">
        <f ca="1">IFERROR(__xludf.DUMMYFUNCTION("GOOGLETRANSLATE(B240, ""bn"", ""en"")"),"On 7 May 2025, a Durga temple at Sayedpur in Nilphamari was defaced by splashing red paint on the idol and one side of the idol was broken.")</f>
        <v>On 7 May 2025, a Durga temple at Sayedpur in Nilphamari was defaced by splashing red paint on the idol and one side of the idol was broken.</v>
      </c>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6" x14ac:dyDescent="0.3">
      <c r="A241" s="18" t="s">
        <v>8</v>
      </c>
      <c r="B241" s="25" t="s">
        <v>246</v>
      </c>
      <c r="C241" s="2" t="str">
        <f ca="1">IFERROR(__xludf.DUMMYFUNCTION("GOOGLETRANSLATE(B241, ""bn"", ""en"")"),"Villagers were about to organize a puja. In the century-old Chandi Mandap on the west side of the village, devotees were cleaning and scrubbing the brass idols. Young children were collecting flowers for worship. Suddenly, the militants started firing fro"&amp;"m the boat at the innocent Hindus.")</f>
        <v>Villagers were about to organize a puja. In the century-old Chandi Mandap on the west side of the village, devotees were cleaning and scrubbing the brass idols. Young children were collecting flowers for worship. Suddenly, the militants started firing from the boat at the innocent Hindus.</v>
      </c>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6" x14ac:dyDescent="0.3">
      <c r="A242" s="18" t="s">
        <v>8</v>
      </c>
      <c r="B242" s="25" t="s">
        <v>247</v>
      </c>
      <c r="C242" s="2" t="str">
        <f ca="1">IFERROR(__xludf.DUMMYFUNCTION("GOOGLETRANSLATE(B242, ""bn"", ""en"")"),"Breaking of temples and idols in the name of religious sentiments is not justified but is unilateral violence that creates division and hatred in the country in the name of religion.")</f>
        <v>Breaking of temples and idols in the name of religious sentiments is not justified but is unilateral violence that creates division and hatred in the country in the name of religion.</v>
      </c>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6" x14ac:dyDescent="0.3">
      <c r="A243" s="18" t="s">
        <v>5</v>
      </c>
      <c r="B243" s="25" t="s">
        <v>248</v>
      </c>
      <c r="C243" s="2" t="str">
        <f ca="1">IFERROR(__xludf.DUMMYFUNCTION("GOOGLETRANSLATE(B243, ""bn"", ""en"")"),"Radical religious fanaticism has created hatred in the minds of people, resulting in many killings and destruction of peace.")</f>
        <v>Radical religious fanaticism has created hatred in the minds of people, resulting in many killings and destruction of peace.</v>
      </c>
      <c r="D243" s="2"/>
      <c r="E243" s="2"/>
      <c r="F243" s="2"/>
      <c r="G243" s="2"/>
      <c r="H243" s="3"/>
      <c r="I243" s="3"/>
      <c r="J243" s="3"/>
      <c r="K243" s="3"/>
      <c r="L243" s="3"/>
      <c r="M243" s="3"/>
      <c r="N243" s="3"/>
      <c r="O243" s="3"/>
      <c r="P243" s="3"/>
      <c r="Q243" s="3"/>
      <c r="R243" s="3"/>
      <c r="S243" s="3"/>
      <c r="T243" s="3"/>
      <c r="U243" s="3"/>
      <c r="V243" s="3"/>
      <c r="W243" s="3"/>
      <c r="X243" s="3"/>
      <c r="Y243" s="3"/>
      <c r="Z243" s="3"/>
    </row>
    <row r="244" spans="1:26" ht="15.6" x14ac:dyDescent="0.3">
      <c r="A244" s="19" t="s">
        <v>3</v>
      </c>
      <c r="B244" s="26" t="s">
        <v>249</v>
      </c>
      <c r="C244" s="2" t="str">
        <f ca="1">IFERROR(__xludf.DUMMYFUNCTION("GOOGLETRANSLATE(B244, ""bn"", ""en"")"),"The word 'Allah' has been used by people of various Arab religions since pre-Islamic times, especially Muslims and Arab Christians.")</f>
        <v>The word 'Allah' has been used by people of various Arab religions since pre-Islamic times, especially Muslims and Arab Christians.</v>
      </c>
      <c r="D244" s="7"/>
      <c r="E244" s="7"/>
      <c r="F244" s="7"/>
      <c r="G244" s="7"/>
      <c r="H244" s="7"/>
      <c r="I244" s="5"/>
      <c r="J244" s="5"/>
      <c r="K244" s="5"/>
      <c r="L244" s="5"/>
      <c r="M244" s="5"/>
      <c r="N244" s="5"/>
      <c r="O244" s="5"/>
      <c r="P244" s="5"/>
      <c r="Q244" s="5"/>
      <c r="R244" s="5"/>
      <c r="S244" s="5"/>
      <c r="T244" s="5"/>
      <c r="U244" s="5"/>
      <c r="V244" s="5"/>
      <c r="W244" s="5"/>
      <c r="X244" s="5"/>
      <c r="Y244" s="5"/>
      <c r="Z244" s="5"/>
    </row>
    <row r="245" spans="1:26" ht="15.6" x14ac:dyDescent="0.3">
      <c r="A245" s="18" t="s">
        <v>23</v>
      </c>
      <c r="B245" s="25" t="s">
        <v>250</v>
      </c>
      <c r="C245" s="2" t="str">
        <f ca="1">IFERROR(__xludf.DUMMYFUNCTION("GOOGLETRANSLATE(B245, ""bn"", ""en"")"),"The so-called civilists abuse Islam on sight, insult the whole religion on the pretext of some incident - these disobedients should hide their faces from Muslims.")</f>
        <v>The so-called civilists abuse Islam on sight, insult the whole religion on the pretext of some incident - these disobedients should hide their faces from Muslims.</v>
      </c>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6" x14ac:dyDescent="0.3">
      <c r="A246" s="18" t="s">
        <v>8</v>
      </c>
      <c r="B246" s="25" t="s">
        <v>251</v>
      </c>
      <c r="C246" s="2" t="str">
        <f ca="1">IFERROR(__xludf.DUMMYFUNCTION("GOOGLETRANSLATE(B246, ""bn"", ""en"")"),"Harsha (1089-1101), the last Hindu king of the Lohara Empire, introduced another religious exclusionary rule. He started destroying both Hindu temples and Buddhist monasteries.")</f>
        <v>Harsha (1089-1101), the last Hindu king of the Lohara Empire, introduced another religious exclusionary rule. He started destroying both Hindu temples and Buddhist monasteries.</v>
      </c>
      <c r="D246" s="2"/>
      <c r="E246" s="2"/>
      <c r="F246" s="2"/>
      <c r="G246" s="2"/>
      <c r="H246" s="3"/>
      <c r="I246" s="3"/>
      <c r="J246" s="3"/>
      <c r="K246" s="3"/>
      <c r="L246" s="3"/>
      <c r="M246" s="3"/>
      <c r="N246" s="3"/>
      <c r="O246" s="3"/>
      <c r="P246" s="3"/>
      <c r="Q246" s="3"/>
      <c r="R246" s="3"/>
      <c r="S246" s="3"/>
      <c r="T246" s="3"/>
      <c r="U246" s="3"/>
      <c r="V246" s="3"/>
      <c r="W246" s="3"/>
      <c r="X246" s="3"/>
      <c r="Y246" s="3"/>
      <c r="Z246" s="3"/>
    </row>
    <row r="247" spans="1:26" ht="15.6" x14ac:dyDescent="0.3">
      <c r="A247" s="18" t="s">
        <v>8</v>
      </c>
      <c r="B247" s="25" t="s">
        <v>252</v>
      </c>
      <c r="C247" s="2" t="str">
        <f ca="1">IFERROR(__xludf.DUMMYFUNCTION("GOOGLETRANSLATE(B247, ""bn"", ""en"")"),"The rioters also attacked, looted and vandalized Bholanathgiri Ashram in Dhaka. Muslims looted the gold shops owned by Hindus in old Dhaka. They looted the Hindu houses of Rayerbazar and set them on fire.")</f>
        <v>The rioters also attacked, looted and vandalized Bholanathgiri Ashram in Dhaka. Muslims looted the gold shops owned by Hindus in old Dhaka. They looted the Hindu houses of Rayerbazar and set them on fire.</v>
      </c>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6" x14ac:dyDescent="0.3">
      <c r="A248" s="18" t="s">
        <v>8</v>
      </c>
      <c r="B248" s="25" t="s">
        <v>253</v>
      </c>
      <c r="C248" s="2" t="str">
        <f ca="1">IFERROR(__xludf.DUMMYFUNCTION("GOOGLETRANSLATE(B248, ""bn"", ""en"")"),"After rumors of the Hazratbal incident spread, Muslims pelted stones at the Hindu dormitory of the NATO University of Engineering and Technology.")</f>
        <v>After rumors of the Hazratbal incident spread, Muslims pelted stones at the Hindu dormitory of the NATO University of Engineering and Technology.</v>
      </c>
      <c r="D248" s="2"/>
      <c r="E248" s="2"/>
      <c r="F248" s="2"/>
      <c r="G248" s="2"/>
      <c r="H248" s="3"/>
      <c r="I248" s="3"/>
      <c r="J248" s="3"/>
      <c r="K248" s="3"/>
      <c r="L248" s="3"/>
      <c r="M248" s="3"/>
      <c r="N248" s="3"/>
      <c r="O248" s="3"/>
      <c r="P248" s="3"/>
      <c r="Q248" s="3"/>
      <c r="R248" s="3"/>
      <c r="S248" s="3"/>
      <c r="T248" s="3"/>
      <c r="U248" s="3"/>
      <c r="V248" s="3"/>
      <c r="W248" s="3"/>
      <c r="X248" s="3"/>
      <c r="Y248" s="3"/>
      <c r="Z248" s="3"/>
    </row>
    <row r="249" spans="1:26" ht="15.6" x14ac:dyDescent="0.3">
      <c r="A249" s="18" t="s">
        <v>5</v>
      </c>
      <c r="B249" s="24" t="s">
        <v>254</v>
      </c>
      <c r="C249" s="2" t="str">
        <f ca="1">IFERROR(__xludf.DUMMYFUNCTION("GOOGLETRANSLATE(B249, ""bn"", ""en"")"),"A religious group revokes citizenship of minorities in Faridganj; 55 people died of sickness and poverty.")</f>
        <v>A religious group revokes citizenship of minorities in Faridganj; 55 people died of sickness and poverty.</v>
      </c>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6" x14ac:dyDescent="0.3">
      <c r="A250" s="18" t="s">
        <v>3</v>
      </c>
      <c r="B250" s="25" t="s">
        <v>255</v>
      </c>
      <c r="C250" s="2" t="str">
        <f ca="1">IFERROR(__xludf.DUMMYFUNCTION("GOOGLETRANSLATE(B250, ""bn"", ""en"")"),"Muslim scholars generally place more importance on hadith collections than on biographical literature. This is because the hadiths maintain a traditional sanad (tradition).")</f>
        <v>Muslim scholars generally place more importance on hadith collections than on biographical literature. This is because the hadiths maintain a traditional sanad (tradition).</v>
      </c>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6" x14ac:dyDescent="0.3">
      <c r="A251" s="18" t="s">
        <v>3</v>
      </c>
      <c r="B251" s="25" t="s">
        <v>256</v>
      </c>
      <c r="C251" s="2" t="str">
        <f ca="1">IFERROR(__xludf.DUMMYFUNCTION("GOOGLETRANSLATE(B251, ""bn"", ""en"")"),"Religion enriches people with spirituality, leads them to the path of justice and truth and builds stability, respect and spiritual bonds in life.")</f>
        <v>Religion enriches people with spirituality, leads them to the path of justice and truth and builds stability, respect and spiritual bonds in life.</v>
      </c>
      <c r="D251" s="2"/>
      <c r="E251" s="2"/>
      <c r="F251" s="2"/>
      <c r="G251" s="2"/>
      <c r="H251" s="3"/>
      <c r="I251" s="3"/>
      <c r="J251" s="3"/>
      <c r="K251" s="3"/>
      <c r="L251" s="3"/>
      <c r="M251" s="3"/>
      <c r="N251" s="3"/>
      <c r="O251" s="3"/>
      <c r="P251" s="3"/>
      <c r="Q251" s="3"/>
      <c r="R251" s="3"/>
      <c r="S251" s="3"/>
      <c r="T251" s="3"/>
      <c r="U251" s="3"/>
      <c r="V251" s="3"/>
      <c r="W251" s="3"/>
      <c r="X251" s="3"/>
      <c r="Y251" s="3"/>
      <c r="Z251" s="3"/>
    </row>
    <row r="252" spans="1:26" ht="15.6" x14ac:dyDescent="0.3">
      <c r="A252" s="19" t="s">
        <v>5</v>
      </c>
      <c r="B252" s="26" t="s">
        <v>257</v>
      </c>
      <c r="C252" s="2" t="str">
        <f ca="1">IFERROR(__xludf.DUMMYFUNCTION("GOOGLETRANSLATE(B252, ""bn"", ""en"")"),"In 1970, over a hundred people were killed in a Hindu-Muslim clash in Muddapara, Sunamganj. Most of the dead were Muslims.  ")</f>
        <v xml:space="preserve">In 1970, over a hundred people were killed in a Hindu-Muslim clash in Muddapara, Sunamganj. Most of the dead were Muslims.  </v>
      </c>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6" x14ac:dyDescent="0.3">
      <c r="A253" s="18" t="s">
        <v>5</v>
      </c>
      <c r="B253" s="25" t="s">
        <v>258</v>
      </c>
      <c r="C253" s="2" t="str">
        <f ca="1">IFERROR(__xludf.DUMMYFUNCTION("GOOGLETRANSLATE(B253, ""bn"", ""en"")"),"At least one person was killed in police firing when hundreds of people attacked a Hindu village in Gangachra in Rangpur.")</f>
        <v>At least one person was killed in police firing when hundreds of people attacked a Hindu village in Gangachra in Rangpur.</v>
      </c>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6" x14ac:dyDescent="0.3">
      <c r="A254" s="18" t="s">
        <v>8</v>
      </c>
      <c r="B254" s="24" t="s">
        <v>259</v>
      </c>
      <c r="C254" s="2" t="str">
        <f ca="1">IFERROR(__xludf.DUMMYFUNCTION("GOOGLETRANSLATE(B254, ""bn"", ""en"")"),"In Khulna, miscreants smashed the idols of symbolic deities in a horrifying attack on a Hindu worship hall.")</f>
        <v>In Khulna, miscreants smashed the idols of symbolic deities in a horrifying attack on a Hindu worship hall.</v>
      </c>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6" x14ac:dyDescent="0.3">
      <c r="A255" s="18" t="s">
        <v>8</v>
      </c>
      <c r="B255" s="25" t="s">
        <v>260</v>
      </c>
      <c r="C255" s="2" t="str">
        <f ca="1">IFERROR(__xludf.DUMMYFUNCTION("GOOGLETRANSLATE(B255, ""bn"", ""en"")"),"Religious vandalism and violence are often committed by Hindus, with attacks targeting Muslim places of worship and religious symbols")</f>
        <v>Religious vandalism and violence are often committed by Hindus, with attacks targeting Muslim places of worship and religious symbols</v>
      </c>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6" x14ac:dyDescent="0.3">
      <c r="A256" s="19" t="s">
        <v>5</v>
      </c>
      <c r="B256" s="26" t="s">
        <v>261</v>
      </c>
      <c r="C256" s="2" t="str">
        <f ca="1">IFERROR(__xludf.DUMMYFUNCTION("GOOGLETRANSLATE(B256, ""bn"", ""en"")"),"Extremist Muslim groups in the country attacked the Ahmadiyya Muslim community, killing several.")</f>
        <v>Extremist Muslim groups in the country attacked the Ahmadiyya Muslim community, killing several.</v>
      </c>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6" x14ac:dyDescent="0.3">
      <c r="A257" s="18" t="s">
        <v>5</v>
      </c>
      <c r="B257" s="24" t="s">
        <v>262</v>
      </c>
      <c r="C257" s="2" t="str">
        <f ca="1">IFERROR(__xludf.DUMMYFUNCTION("GOOGLETRANSLATE(B257, ""bn"", ""en"")"),"In Narsingdi, 44 people were killed in clashes over religious disputes. Police failed to quell the violence, but the government called for calm. Affected minority families leave the village for security reasons.")</f>
        <v>In Narsingdi, 44 people were killed in clashes over religious disputes. Police failed to quell the violence, but the government called for calm. Affected minority families leave the village for security reasons.</v>
      </c>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6" x14ac:dyDescent="0.3">
      <c r="A258" s="18" t="s">
        <v>8</v>
      </c>
      <c r="B258" s="25" t="s">
        <v>263</v>
      </c>
      <c r="C258" s="2" t="str">
        <f ca="1">IFERROR(__xludf.DUMMYFUNCTION("GOOGLETRANSLATE(B258, ""bn"", ""en"")"),"A group of religious fanatics attacked temples, destroyed Buddha statues, occupied holy places and built schools and offices to assert their power by erasing religious beliefs.")</f>
        <v>A group of religious fanatics attacked temples, destroyed Buddha statues, occupied holy places and built schools and offices to assert their power by erasing religious beliefs.</v>
      </c>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6" x14ac:dyDescent="0.3">
      <c r="A259" s="18" t="s">
        <v>5</v>
      </c>
      <c r="B259" s="24" t="s">
        <v>264</v>
      </c>
      <c r="C259" s="2" t="str">
        <f ca="1">IFERROR(__xludf.DUMMYFUNCTION("GOOGLETRANSLATE(B259, ""bn"", ""en"")"),"At least 41 people were killed in religious riots in Rangpur in an attack on a minority community. The attackers burnt their houses and temples.")</f>
        <v>At least 41 people were killed in religious riots in Rangpur in an attack on a minority community. The attackers burnt their houses and temples.</v>
      </c>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6" x14ac:dyDescent="0.3">
      <c r="A260" s="18" t="s">
        <v>23</v>
      </c>
      <c r="B260" s="25" t="s">
        <v>265</v>
      </c>
      <c r="C260" s="2" t="str">
        <f ca="1">IFERROR(__xludf.DUMMYFUNCTION("GOOGLETRANSLATE(B260, ""bn"", ""en"")"),"He is detained because he is a neo-Muslim, it is nothing but Islamophobia.")</f>
        <v>He is detained because he is a neo-Muslim, it is nothing but Islamophobia.</v>
      </c>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6" x14ac:dyDescent="0.3">
      <c r="A261" s="18" t="s">
        <v>23</v>
      </c>
      <c r="B261" s="25" t="s">
        <v>266</v>
      </c>
      <c r="C261" s="2" t="str">
        <f ca="1">IFERROR(__xludf.DUMMYFUNCTION("GOOGLETRANSLATE(B261, ""bn"", ""en"")"),"Attempts are being made to cancel the studentships of six students of three universities and one college because they all belong to the Hindu religion. Attempts are being made to implicate them by hacking their Facebook and spreading rumors of insulting r"&amp;"eligion.")</f>
        <v>Attempts are being made to cancel the studentships of six students of three universities and one college because they all belong to the Hindu religion. Attempts are being made to implicate them by hacking their Facebook and spreading rumors of insulting religion.</v>
      </c>
      <c r="D261" s="6"/>
      <c r="E261" s="6"/>
      <c r="F261" s="6"/>
      <c r="G261" s="6"/>
      <c r="H261" s="3"/>
      <c r="I261" s="3"/>
      <c r="J261" s="3"/>
      <c r="K261" s="3"/>
      <c r="L261" s="3"/>
      <c r="M261" s="3"/>
      <c r="N261" s="3"/>
      <c r="O261" s="3"/>
      <c r="P261" s="3"/>
      <c r="Q261" s="3"/>
      <c r="R261" s="3"/>
      <c r="S261" s="3"/>
      <c r="T261" s="3"/>
      <c r="U261" s="3"/>
      <c r="V261" s="3"/>
      <c r="W261" s="3"/>
      <c r="X261" s="3"/>
      <c r="Y261" s="3"/>
      <c r="Z261" s="3"/>
    </row>
    <row r="262" spans="1:26" ht="15.6" x14ac:dyDescent="0.3">
      <c r="A262" s="19" t="s">
        <v>3</v>
      </c>
      <c r="B262" s="26" t="s">
        <v>267</v>
      </c>
      <c r="C262" s="2" t="str">
        <f ca="1">IFERROR(__xludf.DUMMYFUNCTION("GOOGLETRANSLATE(B262, ""bn"", ""en"")"),"He was teaching Islam's haram and halal rules in the religious education of the school.")</f>
        <v>He was teaching Islam's haram and halal rules in the religious education of the school.</v>
      </c>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6" x14ac:dyDescent="0.3">
      <c r="A263" s="18" t="s">
        <v>23</v>
      </c>
      <c r="B263" s="25" t="s">
        <v>268</v>
      </c>
      <c r="C263" s="2" t="str">
        <f ca="1">IFERROR(__xludf.DUMMYFUNCTION("GOOGLETRANSLATE(B263, ""bn"", ""en"")"),"If you look at it through a religious prism, you will think so. Shanti Kami no Hindu Muslim does these things, nor is he supposed to do this, because I know very well how my relationship with Devabrat Majumdar of my neighborhood is?")</f>
        <v>If you look at it through a religious prism, you will think so. Shanti Kami no Hindu Muslim does these things, nor is he supposed to do this, because I know very well how my relationship with Devabrat Majumdar of my neighborhood is?</v>
      </c>
      <c r="D263" s="6"/>
      <c r="E263" s="6"/>
      <c r="F263" s="2"/>
      <c r="G263" s="2"/>
      <c r="H263" s="3"/>
      <c r="I263" s="3"/>
      <c r="J263" s="3"/>
      <c r="K263" s="3"/>
      <c r="L263" s="3"/>
      <c r="M263" s="3"/>
      <c r="N263" s="3"/>
      <c r="O263" s="3"/>
      <c r="P263" s="3"/>
      <c r="Q263" s="3"/>
      <c r="R263" s="3"/>
      <c r="S263" s="3"/>
      <c r="T263" s="3"/>
      <c r="U263" s="3"/>
      <c r="V263" s="3"/>
      <c r="W263" s="3"/>
      <c r="X263" s="3"/>
      <c r="Y263" s="3"/>
      <c r="Z263" s="3"/>
    </row>
    <row r="264" spans="1:26" ht="15.6" x14ac:dyDescent="0.3">
      <c r="A264" s="19" t="s">
        <v>3</v>
      </c>
      <c r="B264" s="26" t="s">
        <v>269</v>
      </c>
      <c r="C264" s="2" t="str">
        <f ca="1">IFERROR(__xludf.DUMMYFUNCTION("GOOGLETRANSLATE(B264, ""bn"", ""en"")"),"Hinduism and Sanatan religion have the same opinion and path. The Word of God and the Way of Liberation Sanatan i.e. Hindu monotheism clearly describes the rules of worshiping God and what a person should do in this world, society, religion and the univer"&amp;"se to worship God.")</f>
        <v>Hinduism and Sanatan religion have the same opinion and path. The Word of God and the Way of Liberation Sanatan i.e. Hindu monotheism clearly describes the rules of worshiping God and what a person should do in this world, society, religion and the universe to worship God.</v>
      </c>
      <c r="D264" s="7"/>
      <c r="E264" s="7"/>
      <c r="F264" s="7"/>
      <c r="G264" s="7"/>
      <c r="H264" s="5"/>
      <c r="I264" s="5"/>
      <c r="J264" s="5"/>
      <c r="K264" s="5"/>
      <c r="L264" s="5"/>
      <c r="M264" s="5"/>
      <c r="N264" s="5"/>
      <c r="O264" s="5"/>
      <c r="P264" s="5"/>
      <c r="Q264" s="5"/>
      <c r="R264" s="5"/>
      <c r="S264" s="5"/>
      <c r="T264" s="5"/>
      <c r="U264" s="5"/>
      <c r="V264" s="5"/>
      <c r="W264" s="5"/>
      <c r="X264" s="5"/>
      <c r="Y264" s="5"/>
      <c r="Z264" s="5"/>
    </row>
    <row r="265" spans="1:26" ht="15.6" x14ac:dyDescent="0.3">
      <c r="A265" s="18" t="s">
        <v>3</v>
      </c>
      <c r="B265" s="25" t="s">
        <v>270</v>
      </c>
      <c r="C265" s="2" t="str">
        <f ca="1">IFERROR(__xludf.DUMMYFUNCTION("GOOGLETRANSLATE(B265, ""bn"", ""en"")"),"Instead of fighting against people of other religions, respect and compassion should be shown to them.")</f>
        <v>Instead of fighting against people of other religions, respect and compassion should be shown to them.</v>
      </c>
      <c r="D265" s="2"/>
      <c r="E265" s="2"/>
      <c r="F265" s="2"/>
      <c r="G265" s="2"/>
      <c r="H265" s="3"/>
      <c r="I265" s="3"/>
      <c r="J265" s="3"/>
      <c r="K265" s="3"/>
      <c r="L265" s="3"/>
      <c r="M265" s="3"/>
      <c r="N265" s="3"/>
      <c r="O265" s="3"/>
      <c r="P265" s="3"/>
      <c r="Q265" s="3"/>
      <c r="R265" s="3"/>
      <c r="S265" s="3"/>
      <c r="T265" s="3"/>
      <c r="U265" s="3"/>
      <c r="V265" s="3"/>
      <c r="W265" s="3"/>
      <c r="X265" s="3"/>
      <c r="Y265" s="3"/>
      <c r="Z265" s="3"/>
    </row>
    <row r="266" spans="1:26" ht="15.6" x14ac:dyDescent="0.3">
      <c r="A266" s="19" t="s">
        <v>3</v>
      </c>
      <c r="B266" s="26" t="s">
        <v>271</v>
      </c>
      <c r="C266" s="2" t="str">
        <f ca="1">IFERROR(__xludf.DUMMYFUNCTION("GOOGLETRANSLATE(B266, ""bn"", ""en"")"),"Not the darkness of bigotry, but Bengali self-identity has to be sought")</f>
        <v>Not the darkness of bigotry, but Bengali self-identity has to be sought</v>
      </c>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6" x14ac:dyDescent="0.3">
      <c r="A267" s="18" t="s">
        <v>8</v>
      </c>
      <c r="B267" s="25" t="s">
        <v>272</v>
      </c>
      <c r="C267" s="2" t="str">
        <f ca="1">IFERROR(__xludf.DUMMYFUNCTION("GOOGLETRANSLATE(B267, ""bn"", ""en"")"),"On October 13, a series of attacks were carried out on several Hindu temples and pujamandap in Hatia, Noakhali, and vandalized 4-5 houses of Hindus.")</f>
        <v>On October 13, a series of attacks were carried out on several Hindu temples and pujamandap in Hatia, Noakhali, and vandalized 4-5 houses of Hindus.</v>
      </c>
      <c r="D267" s="2"/>
      <c r="E267" s="2"/>
      <c r="F267" s="2"/>
      <c r="G267" s="2"/>
      <c r="H267" s="3"/>
      <c r="I267" s="3"/>
      <c r="J267" s="3"/>
      <c r="K267" s="3"/>
      <c r="L267" s="3"/>
      <c r="M267" s="3"/>
      <c r="N267" s="3"/>
      <c r="O267" s="3"/>
      <c r="P267" s="3"/>
      <c r="Q267" s="3"/>
      <c r="R267" s="3"/>
      <c r="S267" s="3"/>
      <c r="T267" s="3"/>
      <c r="U267" s="3"/>
      <c r="V267" s="3"/>
      <c r="W267" s="3"/>
      <c r="X267" s="3"/>
      <c r="Y267" s="3"/>
      <c r="Z267" s="3"/>
    </row>
    <row r="268" spans="1:26" ht="15.6" x14ac:dyDescent="0.3">
      <c r="A268" s="19" t="s">
        <v>5</v>
      </c>
      <c r="B268" s="26" t="s">
        <v>273</v>
      </c>
      <c r="C268" s="2" t="str">
        <f ca="1">IFERROR(__xludf.DUMMYFUNCTION("GOOGLETRANSLATE(B268, ""bn"", ""en"")"),"On October 10, 1946, massacres began in some areas of Raiganj police station in North Noakhali, described as ""the organized fury of Muslim rioters"".")</f>
        <v>On October 10, 1946, massacres began in some areas of Raiganj police station in North Noakhali, described as "the organized fury of Muslim rioters".</v>
      </c>
      <c r="D268" s="7"/>
      <c r="E268" s="7"/>
      <c r="F268" s="7"/>
      <c r="G268" s="7"/>
      <c r="H268" s="7"/>
      <c r="I268" s="7"/>
      <c r="J268" s="7"/>
      <c r="K268" s="7"/>
      <c r="L268" s="5"/>
      <c r="M268" s="5"/>
      <c r="N268" s="5"/>
      <c r="O268" s="5"/>
      <c r="P268" s="5"/>
      <c r="Q268" s="5"/>
      <c r="R268" s="5"/>
      <c r="S268" s="5"/>
      <c r="T268" s="5"/>
      <c r="U268" s="5"/>
      <c r="V268" s="5"/>
      <c r="W268" s="5"/>
      <c r="X268" s="5"/>
      <c r="Y268" s="5"/>
      <c r="Z268" s="5"/>
    </row>
    <row r="269" spans="1:26" ht="15.6" x14ac:dyDescent="0.3">
      <c r="A269" s="18" t="s">
        <v>23</v>
      </c>
      <c r="B269" s="25" t="s">
        <v>274</v>
      </c>
      <c r="C269" s="2" t="str">
        <f ca="1">IFERROR(__xludf.DUMMYFUNCTION("GOOGLETRANSLATE(B269, ""bn"", ""en"")"),"When I enter Facebook, I only see negative posts about religion. And mostly about Islam. These posts will not be of much use to me.")</f>
        <v>When I enter Facebook, I only see negative posts about religion. And mostly about Islam. These posts will not be of much use to me.</v>
      </c>
      <c r="D269" s="2"/>
      <c r="E269" s="2"/>
      <c r="F269" s="2"/>
      <c r="G269" s="2"/>
      <c r="H269" s="5"/>
      <c r="I269" s="5"/>
      <c r="J269" s="5"/>
      <c r="K269" s="5"/>
      <c r="L269" s="5"/>
      <c r="M269" s="5"/>
      <c r="N269" s="5"/>
      <c r="O269" s="5"/>
      <c r="P269" s="5"/>
      <c r="Q269" s="5"/>
      <c r="R269" s="5"/>
      <c r="S269" s="5"/>
      <c r="T269" s="5"/>
      <c r="U269" s="5"/>
      <c r="V269" s="5"/>
      <c r="W269" s="5"/>
      <c r="X269" s="5"/>
      <c r="Y269" s="5"/>
      <c r="Z269" s="5"/>
    </row>
    <row r="270" spans="1:26" ht="15.6" x14ac:dyDescent="0.3">
      <c r="A270" s="18" t="s">
        <v>8</v>
      </c>
      <c r="B270" s="25" t="s">
        <v>275</v>
      </c>
      <c r="C270" s="2" t="str">
        <f ca="1">IFERROR(__xludf.DUMMYFUNCTION("GOOGLETRANSLATE(B270, ""bn"", ""en"")"),"When I came to the temple in the morning, I found the head of Ganesha, two arms of Lakshmi and the left arm of Goddess Durga broken. The matter has been reported to the administration.")</f>
        <v>When I came to the temple in the morning, I found the head of Ganesha, two arms of Lakshmi and the left arm of Goddess Durga broken. The matter has been reported to the administration.</v>
      </c>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6" x14ac:dyDescent="0.3">
      <c r="A271" s="18" t="s">
        <v>8</v>
      </c>
      <c r="B271" s="25" t="s">
        <v>276</v>
      </c>
      <c r="C271" s="2" t="str">
        <f ca="1">IFERROR(__xludf.DUMMYFUNCTION("GOOGLETRANSLATE(B271, ""bn"", ""en"")"),"In addition, 96 people of the community were arrested, dismissed, fired and fined in jail in false cases, 802 families were blocked, 57 religious institutions were desecrated, 60 religious ceremonies were prevented, and 100 people were fed religiously pro"&amp;"hibited beef. A total of 638 separate incidents caused a loss of Tk 152 crore 35 lakh 55 thousand.")</f>
        <v>In addition, 96 people of the community were arrested, dismissed, fired and fined in jail in false cases, 802 families were blocked, 57 religious institutions were desecrated, 60 religious ceremonies were prevented, and 100 people were fed religiously prohibited beef. A total of 638 separate incidents caused a loss of Tk 152 crore 35 lakh 55 thousand.</v>
      </c>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6" x14ac:dyDescent="0.3">
      <c r="A272" s="18" t="s">
        <v>8</v>
      </c>
      <c r="B272" s="25" t="s">
        <v>277</v>
      </c>
      <c r="C272" s="2" t="str">
        <f ca="1">IFERROR(__xludf.DUMMYFUNCTION("GOOGLETRANSLATE(B272, ""bn"", ""en"")"),"In Bandarban upazila of Pirojpur district, Islamic fundamentalists torched the ancient Durga temple on the 12th after the January 5 national elections. Those fundamentalists burnt down the temple.")</f>
        <v>In Bandarban upazila of Pirojpur district, Islamic fundamentalists torched the ancient Durga temple on the 12th after the January 5 national elections. Those fundamentalists burnt down the temple.</v>
      </c>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6" x14ac:dyDescent="0.3">
      <c r="A273" s="19" t="s">
        <v>8</v>
      </c>
      <c r="B273" s="26" t="s">
        <v>278</v>
      </c>
      <c r="C273" s="2" t="str">
        <f ca="1">IFERROR(__xludf.DUMMYFUNCTION("GOOGLETRANSLATE(B273, ""bn"", ""en"")"),"Muslim forces made many raids in the north-west, destroying and renaming various structures. For example, Odantapuri monastery was destroyed in 1197 and Vikramshila around 1200 and Mahabodhi temple was also almost completely destroyed.")</f>
        <v>Muslim forces made many raids in the north-west, destroying and renaming various structures. For example, Odantapuri monastery was destroyed in 1197 and Vikramshila around 1200 and Mahabodhi temple was also almost completely destroyed.</v>
      </c>
      <c r="D273" s="7"/>
      <c r="E273" s="7"/>
      <c r="F273" s="7"/>
      <c r="G273" s="7"/>
      <c r="H273" s="7"/>
      <c r="I273" s="7"/>
      <c r="J273" s="7"/>
      <c r="K273" s="7"/>
      <c r="L273" s="7"/>
      <c r="M273" s="7"/>
      <c r="N273" s="7"/>
      <c r="O273" s="7"/>
      <c r="P273" s="7"/>
      <c r="Q273" s="7"/>
      <c r="R273" s="7"/>
      <c r="S273" s="7"/>
      <c r="T273" s="5"/>
      <c r="U273" s="5"/>
      <c r="V273" s="5"/>
      <c r="W273" s="5"/>
      <c r="X273" s="5"/>
      <c r="Y273" s="5"/>
      <c r="Z273" s="5"/>
    </row>
    <row r="274" spans="1:26" ht="15.6" x14ac:dyDescent="0.3">
      <c r="A274" s="19" t="s">
        <v>23</v>
      </c>
      <c r="B274" s="26" t="s">
        <v>279</v>
      </c>
      <c r="C274" s="2" t="str">
        <f ca="1">IFERROR(__xludf.DUMMYFUNCTION("GOOGLETRANSLATE(B274, ""bn"", ""en"")"),"When an Islamic group or group is formed, everyone calls it a militant")</f>
        <v>When an Islamic group or group is formed, everyone calls it a militant</v>
      </c>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6" x14ac:dyDescent="0.3">
      <c r="A275" s="18" t="s">
        <v>8</v>
      </c>
      <c r="B275" s="25" t="s">
        <v>280</v>
      </c>
      <c r="C275" s="2" t="str">
        <f ca="1">IFERROR(__xludf.DUMMYFUNCTION("GOOGLETRANSLATE(B275, ""bn"", ""en"")"),"The Muslims looted the house of a person named Kedarnath Ghosh who took shelter inside the mill. Around four in the afternoon only 20 policemen arrived there. Within half an hour in front of the police, the Muslims again attacked the helpless Hindus.")</f>
        <v>The Muslims looted the house of a person named Kedarnath Ghosh who took shelter inside the mill. Around four in the afternoon only 20 policemen arrived there. Within half an hour in front of the police, the Muslims again attacked the helpless Hindus.</v>
      </c>
      <c r="D275" s="2"/>
      <c r="E275" s="2"/>
      <c r="F275" s="2"/>
      <c r="G275" s="2"/>
      <c r="H275" s="3"/>
      <c r="I275" s="3"/>
      <c r="J275" s="3"/>
      <c r="K275" s="3"/>
      <c r="L275" s="3"/>
      <c r="M275" s="3"/>
      <c r="N275" s="3"/>
      <c r="O275" s="3"/>
      <c r="P275" s="3"/>
      <c r="Q275" s="3"/>
      <c r="R275" s="3"/>
      <c r="S275" s="3"/>
      <c r="T275" s="3"/>
      <c r="U275" s="3"/>
      <c r="V275" s="3"/>
      <c r="W275" s="3"/>
      <c r="X275" s="3"/>
      <c r="Y275" s="3"/>
      <c r="Z275" s="3"/>
    </row>
    <row r="276" spans="1:26" ht="15.6" x14ac:dyDescent="0.3">
      <c r="A276" s="18" t="s">
        <v>8</v>
      </c>
      <c r="B276" s="25" t="s">
        <v>281</v>
      </c>
      <c r="C276" s="2" t="str">
        <f ca="1">IFERROR(__xludf.DUMMYFUNCTION("GOOGLETRANSLATE(B276, ""bn"", ""en"")"),"By noon, the protest turned violent. Businesses, homes and even temples of Hindus were attacked and looted with sticks from these processions.")</f>
        <v>By noon, the protest turned violent. Businesses, homes and even temples of Hindus were attacked and looted with sticks from these processions.</v>
      </c>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6" x14ac:dyDescent="0.3">
      <c r="A277" s="18" t="s">
        <v>23</v>
      </c>
      <c r="B277" s="25" t="s">
        <v>282</v>
      </c>
      <c r="C277" s="2" t="str">
        <f ca="1">IFERROR(__xludf.DUMMYFUNCTION("GOOGLETRANSLATE(B277, ""bn"", ""en"")"),"In the name of religion, the life of girls has become hell, it is not the law of God, it is barbarism.")</f>
        <v>In the name of religion, the life of girls has become hell, it is not the law of God, it is barbarism.</v>
      </c>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6" x14ac:dyDescent="0.3">
      <c r="A278" s="19" t="s">
        <v>3</v>
      </c>
      <c r="B278" s="26" t="s">
        <v>283</v>
      </c>
      <c r="C278" s="2" t="str">
        <f ca="1">IFERROR(__xludf.DUMMYFUNCTION("GOOGLETRANSLATE(B278, ""bn"", ""en"")"),"He is not only talking about Christianity. He talks about the human values, ethics through which people can live happily and peacefully.")</f>
        <v>He is not only talking about Christianity. He talks about the human values, ethics through which people can live happily and peacefully.</v>
      </c>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6" x14ac:dyDescent="0.3">
      <c r="A279" s="19" t="s">
        <v>3</v>
      </c>
      <c r="B279" s="26" t="s">
        <v>284</v>
      </c>
      <c r="C279" s="2" t="str">
        <f ca="1">IFERROR(__xludf.DUMMYFUNCTION("GOOGLETRANSLATE(B279, ""bn"", ""en"")"),"What should be more important than what he thinks, his hijab, niqab, beard, cap are the sign of his 'Islam', he is a stranger to everyone but he is a 'Muslim' because of his clothes. big talk ")</f>
        <v xml:space="preserve">What should be more important than what he thinks, his hijab, niqab, beard, cap are the sign of his 'Islam', he is a stranger to everyone but he is a 'Muslim' because of his clothes. big talk </v>
      </c>
      <c r="D279" s="7"/>
      <c r="E279" s="7"/>
      <c r="F279" s="7"/>
      <c r="G279" s="7"/>
      <c r="H279" s="7"/>
      <c r="I279" s="7"/>
      <c r="J279" s="7"/>
      <c r="K279" s="7"/>
      <c r="L279" s="7"/>
      <c r="M279" s="7"/>
      <c r="N279" s="7"/>
      <c r="O279" s="7"/>
      <c r="P279" s="7"/>
      <c r="Q279" s="7"/>
      <c r="R279" s="7"/>
      <c r="S279" s="7"/>
      <c r="T279" s="5"/>
      <c r="U279" s="5"/>
      <c r="V279" s="5"/>
      <c r="W279" s="5"/>
      <c r="X279" s="5"/>
      <c r="Y279" s="5"/>
      <c r="Z279" s="5"/>
    </row>
    <row r="280" spans="1:26" ht="15.6" x14ac:dyDescent="0.3">
      <c r="A280" s="19" t="s">
        <v>8</v>
      </c>
      <c r="B280" s="26" t="s">
        <v>285</v>
      </c>
      <c r="C280" s="2" t="str">
        <f ca="1">IFERROR(__xludf.DUMMYFUNCTION("GOOGLETRANSLATE(B280, ""bn"", ""en"")"),"A grave identified as a 'Christian grave' in a Muslim graveyard in Rajbari was removed under pressure from radical villagers.")</f>
        <v>A grave identified as a 'Christian grave' in a Muslim graveyard in Rajbari was removed under pressure from radical villagers.</v>
      </c>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6" x14ac:dyDescent="0.3">
      <c r="A281" s="18" t="s">
        <v>23</v>
      </c>
      <c r="B281" s="25" t="s">
        <v>286</v>
      </c>
      <c r="C281" s="2" t="str">
        <f ca="1">IFERROR(__xludf.DUMMYFUNCTION("GOOGLETRANSLATE(B281, ""bn"", ""en"")"),"Calling Azan on Chandranath Hill is called ferocity, and placing the Quran at the feet of the statue is called harmony. A movement has been threatened across Bangladesh if the criminals are not given exemplary punishment.")</f>
        <v>Calling Azan on Chandranath Hill is called ferocity, and placing the Quran at the feet of the statue is called harmony. A movement has been threatened across Bangladesh if the criminals are not given exemplary punishment.</v>
      </c>
      <c r="D281" s="2"/>
      <c r="E281" s="2"/>
      <c r="F281" s="2"/>
      <c r="G281" s="2"/>
      <c r="H281" s="3"/>
      <c r="I281" s="3"/>
      <c r="J281" s="3"/>
      <c r="K281" s="3"/>
      <c r="L281" s="3"/>
      <c r="M281" s="3"/>
      <c r="N281" s="3"/>
      <c r="O281" s="3"/>
      <c r="P281" s="3"/>
      <c r="Q281" s="3"/>
      <c r="R281" s="3"/>
      <c r="S281" s="3"/>
      <c r="T281" s="3"/>
      <c r="U281" s="3"/>
      <c r="V281" s="3"/>
      <c r="W281" s="3"/>
      <c r="X281" s="3"/>
      <c r="Y281" s="3"/>
      <c r="Z281" s="3"/>
    </row>
    <row r="282" spans="1:26" ht="15.6" x14ac:dyDescent="0.3">
      <c r="A282" s="18" t="s">
        <v>8</v>
      </c>
      <c r="B282" s="25" t="s">
        <v>287</v>
      </c>
      <c r="C282" s="2" t="str">
        <f ca="1">IFERROR(__xludf.DUMMYFUNCTION("GOOGLETRANSLATE(B282, ""bn"", ""en"")"),"On Friday after Juma, some people marched and attacked the Hindu neighborhood and when they tried to set fire to the house, the police opened fire.")</f>
        <v>On Friday after Juma, some people marched and attacked the Hindu neighborhood and when they tried to set fire to the house, the police opened fire.</v>
      </c>
      <c r="D282" s="2"/>
      <c r="E282" s="2"/>
      <c r="F282" s="2"/>
      <c r="G282" s="2"/>
      <c r="H282" s="3"/>
      <c r="I282" s="3"/>
      <c r="J282" s="3"/>
      <c r="K282" s="3"/>
      <c r="L282" s="3"/>
      <c r="M282" s="3"/>
      <c r="N282" s="3"/>
      <c r="O282" s="3"/>
      <c r="P282" s="3"/>
      <c r="Q282" s="3"/>
      <c r="R282" s="3"/>
      <c r="S282" s="3"/>
      <c r="T282" s="3"/>
      <c r="U282" s="3"/>
      <c r="V282" s="3"/>
      <c r="W282" s="3"/>
      <c r="X282" s="3"/>
      <c r="Y282" s="3"/>
      <c r="Z282" s="3"/>
    </row>
    <row r="283" spans="1:26" ht="15.6" x14ac:dyDescent="0.3">
      <c r="A283" s="18" t="s">
        <v>23</v>
      </c>
      <c r="B283" s="24" t="s">
        <v>288</v>
      </c>
      <c r="C283" s="2" t="str">
        <f ca="1">IFERROR(__xludf.DUMMYFUNCTION("GOOGLETRANSLATE(B283, ""bn"", ""en"")"),"No one is truly human except Muslims, everyone else will go to hell.")</f>
        <v>No one is truly human except Muslims, everyone else will go to hell.</v>
      </c>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6" x14ac:dyDescent="0.3">
      <c r="A284" s="18" t="s">
        <v>8</v>
      </c>
      <c r="B284" s="25" t="s">
        <v>289</v>
      </c>
      <c r="C284" s="2" t="str">
        <f ca="1">IFERROR(__xludf.DUMMYFUNCTION("GOOGLETRANSLATE(B284, ""bn"", ""en"")"),"On the night of February 28 miscreants vandalized a Hindu temple in Pinjaur village of Chindikhali union of Morelganj upazila of Bagerhat district. The Dumuria public temple in Ramchandrapur union was also set on fire.")</f>
        <v>On the night of February 28 miscreants vandalized a Hindu temple in Pinjaur village of Chindikhali union of Morelganj upazila of Bagerhat district. The Dumuria public temple in Ramchandrapur union was also set on fire.</v>
      </c>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6" x14ac:dyDescent="0.3">
      <c r="A285" s="18" t="s">
        <v>3</v>
      </c>
      <c r="B285" s="25" t="s">
        <v>290</v>
      </c>
      <c r="C285" s="2" t="str">
        <f ca="1">IFERROR(__xludf.DUMMYFUNCTION("GOOGLETRANSLATE(B285, ""bn"", ""en"")"),"If the Most Merciful Allah Ta'ala grants me the grace to spend some time in your company and exchange good words, then it will be a priceless blessing and blessing for me in this world and in the hereafter.")</f>
        <v>If the Most Merciful Allah Ta'ala grants me the grace to spend some time in your company and exchange good words, then it will be a priceless blessing and blessing for me in this world and in the hereafter.</v>
      </c>
      <c r="D285" s="6"/>
      <c r="E285" s="6"/>
      <c r="F285" s="2"/>
      <c r="G285" s="2"/>
      <c r="H285" s="5"/>
      <c r="I285" s="5"/>
      <c r="J285" s="5"/>
      <c r="K285" s="5"/>
      <c r="L285" s="5"/>
      <c r="M285" s="5"/>
      <c r="N285" s="5"/>
      <c r="O285" s="5"/>
      <c r="P285" s="5"/>
      <c r="Q285" s="5"/>
      <c r="R285" s="5"/>
      <c r="S285" s="5"/>
      <c r="T285" s="5"/>
      <c r="U285" s="5"/>
      <c r="V285" s="5"/>
      <c r="W285" s="5"/>
      <c r="X285" s="5"/>
      <c r="Y285" s="5"/>
      <c r="Z285" s="5"/>
    </row>
    <row r="286" spans="1:26" ht="15.6" x14ac:dyDescent="0.3">
      <c r="A286" s="19" t="s">
        <v>23</v>
      </c>
      <c r="B286" s="26" t="s">
        <v>291</v>
      </c>
      <c r="C286" s="2" t="str">
        <f ca="1">IFERROR(__xludf.DUMMYFUNCTION("GOOGLETRANSLATE(B286, ""bn"", ""en"")"),"If someone insults any religion, not only Islam, he should be brought under punishment. Let everyone respect everyone's religion.")</f>
        <v>If someone insults any religion, not only Islam, he should be brought under punishment. Let everyone respect everyone's religion.</v>
      </c>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6" x14ac:dyDescent="0.3">
      <c r="A287" s="18" t="s">
        <v>5</v>
      </c>
      <c r="B287" s="24" t="s">
        <v>292</v>
      </c>
      <c r="C287" s="2" t="str">
        <f ca="1">IFERROR(__xludf.DUMMYFUNCTION("GOOGLETRANSLATE(B287, ""bn"", ""en"")"),"44 people were killed in a bomb attack on a Christian church in Naogaon; The church is in ruins.")</f>
        <v>44 people were killed in a bomb attack on a Christian church in Naogaon; The church is in ruins.</v>
      </c>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6" x14ac:dyDescent="0.3">
      <c r="A288" s="18" t="s">
        <v>5</v>
      </c>
      <c r="B288" s="25" t="s">
        <v>293</v>
      </c>
      <c r="C288" s="2" t="str">
        <f ca="1">IFERROR(__xludf.DUMMYFUNCTION("GOOGLETRANSLATE(B288, ""bn"", ""en"")"),"Islamists brutally kill Hindu men in Shankharikathi market. 42 innocent Hindus lost their lives in this religious massacre in Alukdia village of Khulna.")</f>
        <v>Islamists brutally kill Hindu men in Shankharikathi market. 42 innocent Hindus lost their lives in this religious massacre in Alukdia village of Khulna.</v>
      </c>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6" x14ac:dyDescent="0.3">
      <c r="A289" s="19" t="s">
        <v>23</v>
      </c>
      <c r="B289" s="26" t="s">
        <v>294</v>
      </c>
      <c r="C289" s="2" t="str">
        <f ca="1">IFERROR(__xludf.DUMMYFUNCTION("GOOGLETRANSLATE(B289, ""bn"", ""en"")"),"In 2009, in a seminar titled 'Basic Information on Islam', a foreigner mocked Prophet Muhammad (PBUH)'s marriage.")</f>
        <v>In 2009, in a seminar titled 'Basic Information on Islam', a foreigner mocked Prophet Muhammad (PBUH)'s marriage.</v>
      </c>
      <c r="D289" s="7"/>
      <c r="E289" s="7"/>
      <c r="F289" s="7"/>
      <c r="G289" s="7"/>
      <c r="H289" s="7"/>
      <c r="I289" s="7"/>
      <c r="J289" s="5"/>
      <c r="K289" s="5"/>
      <c r="L289" s="5"/>
      <c r="M289" s="5"/>
      <c r="N289" s="5"/>
      <c r="O289" s="5"/>
      <c r="P289" s="5"/>
      <c r="Q289" s="5"/>
      <c r="R289" s="5"/>
      <c r="S289" s="5"/>
      <c r="T289" s="5"/>
      <c r="U289" s="5"/>
      <c r="V289" s="5"/>
      <c r="W289" s="5"/>
      <c r="X289" s="5"/>
      <c r="Y289" s="5"/>
      <c r="Z289" s="5"/>
    </row>
    <row r="290" spans="1:26" ht="15.6" x14ac:dyDescent="0.3">
      <c r="A290" s="18" t="s">
        <v>3</v>
      </c>
      <c r="B290" s="25" t="s">
        <v>295</v>
      </c>
      <c r="C290" s="2" t="str">
        <f ca="1">IFERROR(__xludf.DUMMYFUNCTION("GOOGLETRANSLATE(B290, ""bn"", ""en"")"),"When a Hindu girl converts and becomes a Muslim, then when she dies, you want the girl to be buried. And if a Muslim girl converts and follows Hindu or Hindu customs, then why don't they want her to be cremated!")</f>
        <v>When a Hindu girl converts and becomes a Muslim, then when she dies, you want the girl to be buried. And if a Muslim girl converts and follows Hindu or Hindu customs, then why don't they want her to be cremated!</v>
      </c>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6" x14ac:dyDescent="0.3">
      <c r="A291" s="18" t="s">
        <v>23</v>
      </c>
      <c r="B291" s="24" t="s">
        <v>296</v>
      </c>
      <c r="C291" s="2" t="str">
        <f ca="1">IFERROR(__xludf.DUMMYFUNCTION("GOOGLETRANSLATE(B291, ""bn"", ""en"")"),"Some sections of the Christian community are forced to convert, which poses a serious threat to the religious harmony of the country.")</f>
        <v>Some sections of the Christian community are forced to convert, which poses a serious threat to the religious harmony of the country.</v>
      </c>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6" x14ac:dyDescent="0.3">
      <c r="A292" s="18" t="s">
        <v>23</v>
      </c>
      <c r="B292" s="25" t="s">
        <v>297</v>
      </c>
      <c r="C292" s="2" t="str">
        <f ca="1">IFERROR(__xludf.DUMMYFUNCTION("GOOGLETRANSLATE(B292, ""bn"", ""en"")"),"Those who abuse the Prophet, they are unknown devils, leave them in the hands of the Muslim Ummah, history will teach.")</f>
        <v>Those who abuse the Prophet, they are unknown devils, leave them in the hands of the Muslim Ummah, history will teach.</v>
      </c>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6" x14ac:dyDescent="0.3">
      <c r="A293" s="18" t="s">
        <v>8</v>
      </c>
      <c r="B293" s="25" t="s">
        <v>298</v>
      </c>
      <c r="C293" s="2" t="str">
        <f ca="1">IFERROR(__xludf.DUMMYFUNCTION("GOOGLETRANSLATE(B293, ""bn"", ""en"")"),"Alleged vandalism, arson and looting of Hindu houses. In this case, 41 people have been named and many unknown people have been accused.")</f>
        <v>Alleged vandalism, arson and looting of Hindu houses. In this case, 41 people have been named and many unknown people have been accused.</v>
      </c>
      <c r="D293" s="6"/>
      <c r="E293" s="2"/>
      <c r="F293" s="2"/>
      <c r="G293" s="2"/>
      <c r="H293" s="3"/>
      <c r="I293" s="3"/>
      <c r="J293" s="3"/>
      <c r="K293" s="3"/>
      <c r="L293" s="3"/>
      <c r="M293" s="3"/>
      <c r="N293" s="3"/>
      <c r="O293" s="3"/>
      <c r="P293" s="3"/>
      <c r="Q293" s="3"/>
      <c r="R293" s="3"/>
      <c r="S293" s="3"/>
      <c r="T293" s="3"/>
      <c r="U293" s="3"/>
      <c r="V293" s="3"/>
      <c r="W293" s="3"/>
      <c r="X293" s="3"/>
      <c r="Y293" s="3"/>
      <c r="Z293" s="3"/>
    </row>
    <row r="294" spans="1:26" ht="15.6" x14ac:dyDescent="0.3">
      <c r="A294" s="18" t="s">
        <v>23</v>
      </c>
      <c r="B294" s="25" t="s">
        <v>299</v>
      </c>
      <c r="C294" s="2" t="str">
        <f ca="1">IFERROR(__xludf.DUMMYFUNCTION("GOOGLETRANSLATE(B294, ""bn"", ""en"")"),"I think that statesmen say or the government says that there is a need to intervene in this matter. No one should give priority to the matter of religion or instigate it or use it in any way.")</f>
        <v>I think that statesmen say or the government says that there is a need to intervene in this matter. No one should give priority to the matter of religion or instigate it or use it in any way.</v>
      </c>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6" x14ac:dyDescent="0.3">
      <c r="A295" s="18" t="s">
        <v>23</v>
      </c>
      <c r="B295" s="25" t="s">
        <v>300</v>
      </c>
      <c r="C295" s="2" t="str">
        <f ca="1">IFERROR(__xludf.DUMMYFUNCTION("GOOGLETRANSLATE(B295, ""bn"", ""en"")"),"In Narsingdi on September 19, some Hindu students wearing vermilion and conch shells were prevented from entering the SSC English First Paper examination hall. After forcing the students to wipe the vermilion and open the shell, they were allowed to enter"&amp;" the examination hall.")</f>
        <v>In Narsingdi on September 19, some Hindu students wearing vermilion and conch shells were prevented from entering the SSC English First Paper examination hall. After forcing the students to wipe the vermilion and open the shell, they were allowed to enter the examination hall.</v>
      </c>
      <c r="D295" s="6"/>
      <c r="E295" s="6"/>
      <c r="F295" s="6"/>
      <c r="G295" s="6"/>
      <c r="H295" s="3"/>
      <c r="I295" s="3"/>
      <c r="J295" s="3"/>
      <c r="K295" s="3"/>
      <c r="L295" s="3"/>
      <c r="M295" s="3"/>
      <c r="N295" s="3"/>
      <c r="O295" s="3"/>
      <c r="P295" s="3"/>
      <c r="Q295" s="3"/>
      <c r="R295" s="3"/>
      <c r="S295" s="3"/>
      <c r="T295" s="3"/>
      <c r="U295" s="3"/>
      <c r="V295" s="3"/>
      <c r="W295" s="3"/>
      <c r="X295" s="3"/>
      <c r="Y295" s="3"/>
      <c r="Z295" s="3"/>
    </row>
    <row r="296" spans="1:26" ht="15.6" x14ac:dyDescent="0.3">
      <c r="A296" s="18" t="s">
        <v>23</v>
      </c>
      <c r="B296" s="25" t="s">
        <v>301</v>
      </c>
      <c r="C296" s="2" t="str">
        <f ca="1">IFERROR(__xludf.DUMMYFUNCTION("GOOGLETRANSLATE(B296, ""bn"", ""en"")"),"What program do you want for holy Ramadan? If you have so many problems with freedom, go where you can find peace.")</f>
        <v>What program do you want for holy Ramadan? If you have so many problems with freedom, go where you can find peace.</v>
      </c>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6" x14ac:dyDescent="0.3">
      <c r="A297" s="18" t="s">
        <v>23</v>
      </c>
      <c r="B297" s="25" t="s">
        <v>302</v>
      </c>
      <c r="C297" s="2" t="str">
        <f ca="1">IFERROR(__xludf.DUMMYFUNCTION("GOOGLETRANSLATE(B297, ""bn"", ""en"")"),"Be it Hindu or Muslim, I want to behead all those cannibals who want to riot in this country of harmony.")</f>
        <v>Be it Hindu or Muslim, I want to behead all those cannibals who want to riot in this country of harmony.</v>
      </c>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6" x14ac:dyDescent="0.3">
      <c r="A298" s="19" t="s">
        <v>3</v>
      </c>
      <c r="B298" s="26" t="s">
        <v>303</v>
      </c>
      <c r="C298" s="2" t="str">
        <f ca="1">IFERROR(__xludf.DUMMYFUNCTION("GOOGLETRANSLATE(B298, ""bn"", ""en"")"),"The Digital Security Act enacted in Bangladesh in 2018 toughened the punishment for the offense of hurting religious sentiments or offending religious beliefs through technology, so as to maintain religious recently.")</f>
        <v>The Digital Security Act enacted in Bangladesh in 2018 toughened the punishment for the offense of hurting religious sentiments or offending religious beliefs through technology, so as to maintain religious recently.</v>
      </c>
      <c r="D298" s="7"/>
      <c r="E298" s="7"/>
      <c r="F298" s="7"/>
      <c r="G298" s="7"/>
      <c r="H298" s="7"/>
      <c r="I298" s="7"/>
      <c r="J298" s="7"/>
      <c r="K298" s="7"/>
      <c r="L298" s="7"/>
      <c r="M298" s="7"/>
      <c r="N298" s="7"/>
      <c r="O298" s="7"/>
      <c r="P298" s="7"/>
      <c r="Q298" s="5"/>
      <c r="R298" s="5"/>
      <c r="S298" s="5"/>
      <c r="T298" s="5"/>
      <c r="U298" s="5"/>
      <c r="V298" s="5"/>
      <c r="W298" s="5"/>
      <c r="X298" s="5"/>
      <c r="Y298" s="5"/>
      <c r="Z298" s="5"/>
    </row>
    <row r="299" spans="1:26" ht="15.6" x14ac:dyDescent="0.3">
      <c r="A299" s="18" t="s">
        <v>3</v>
      </c>
      <c r="B299" s="25" t="s">
        <v>304</v>
      </c>
      <c r="C299" s="2" t="str">
        <f ca="1">IFERROR(__xludf.DUMMYFUNCTION("GOOGLETRANSLATE(B299, ""bn"", ""en"")"),"Let the sectarian and religious fundamentalism of Bangladesh be eradicated. Let humanity be freed. Let the world humanity win.")</f>
        <v>Let the sectarian and religious fundamentalism of Bangladesh be eradicated. Let humanity be freed. Let the world humanity win.</v>
      </c>
      <c r="D299" s="2"/>
      <c r="E299" s="2"/>
      <c r="F299" s="2"/>
      <c r="G299" s="2"/>
      <c r="H299" s="3"/>
      <c r="I299" s="3"/>
      <c r="J299" s="3"/>
      <c r="K299" s="3"/>
      <c r="L299" s="3"/>
      <c r="M299" s="3"/>
      <c r="N299" s="3"/>
      <c r="O299" s="3"/>
      <c r="P299" s="3"/>
      <c r="Q299" s="3"/>
      <c r="R299" s="3"/>
      <c r="S299" s="3"/>
      <c r="T299" s="3"/>
      <c r="U299" s="3"/>
      <c r="V299" s="3"/>
      <c r="W299" s="3"/>
      <c r="X299" s="3"/>
      <c r="Y299" s="3"/>
      <c r="Z299" s="3"/>
    </row>
    <row r="300" spans="1:26" ht="15.6" x14ac:dyDescent="0.3">
      <c r="A300" s="18" t="s">
        <v>5</v>
      </c>
      <c r="B300" s="24" t="s">
        <v>305</v>
      </c>
      <c r="C300" s="2" t="str">
        <f ca="1">IFERROR(__xludf.DUMMYFUNCTION("GOOGLETRANSLATE(B300, ""bn"", ""en"")"),"35 killed in attack by religious extremist in Mymensingh; Police took strict action.")</f>
        <v>35 killed in attack by religious extremist in Mymensingh; Police took strict action.</v>
      </c>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6" x14ac:dyDescent="0.3">
      <c r="A301" s="18" t="s">
        <v>5</v>
      </c>
      <c r="B301" s="25" t="s">
        <v>306</v>
      </c>
      <c r="C301" s="2" t="str">
        <f ca="1">IFERROR(__xludf.DUMMYFUNCTION("GOOGLETRANSLATE(B301, ""bn"", ""en"")"),"The Hindu Buddhist Christian Unity Council released a much-discussed report on September 19 that nine Hindus were killed in ""communal atrocities"" across the country after the fall of the government.")</f>
        <v>The Hindu Buddhist Christian Unity Council released a much-discussed report on September 19 that nine Hindus were killed in "communal atrocities" across the country after the fall of the government.</v>
      </c>
      <c r="D301" s="6"/>
      <c r="E301" s="2"/>
      <c r="F301" s="2"/>
      <c r="G301" s="2"/>
      <c r="H301" s="5"/>
      <c r="I301" s="5"/>
      <c r="J301" s="5"/>
      <c r="K301" s="5"/>
      <c r="L301" s="5"/>
      <c r="M301" s="5"/>
      <c r="N301" s="5"/>
      <c r="O301" s="5"/>
      <c r="P301" s="5"/>
      <c r="Q301" s="5"/>
      <c r="R301" s="5"/>
      <c r="S301" s="5"/>
      <c r="T301" s="5"/>
      <c r="U301" s="5"/>
      <c r="V301" s="5"/>
      <c r="W301" s="5"/>
      <c r="X301" s="5"/>
      <c r="Y301" s="5"/>
      <c r="Z301" s="5"/>
    </row>
    <row r="302" spans="1:26" ht="15.6" x14ac:dyDescent="0.3">
      <c r="A302" s="18" t="s">
        <v>5</v>
      </c>
      <c r="B302" s="24" t="s">
        <v>307</v>
      </c>
      <c r="C302" s="2" t="str">
        <f ca="1">IFERROR(__xludf.DUMMYFUNCTION("GOOGLETRANSLATE(B302, ""bn"", ""en"")"),"43 people lost their lives in religious unrest in Narsingdi. The police tried to reduce the violence by lathicharge but the situation went out of control. The government urged everyone to maintain calm and religious tolerance. Many minority families leave"&amp;" the village for safety.")</f>
        <v>43 people lost their lives in religious unrest in Narsingdi. The police tried to reduce the violence by lathicharge but the situation went out of control. The government urged everyone to maintain calm and religious tolerance. Many minority families leave the village for safety.</v>
      </c>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6" x14ac:dyDescent="0.3">
      <c r="A303" s="18" t="s">
        <v>8</v>
      </c>
      <c r="B303" s="25" t="s">
        <v>308</v>
      </c>
      <c r="C303" s="2" t="str">
        <f ca="1">IFERROR(__xludf.DUMMYFUNCTION("GOOGLETRANSLATE(B303, ""bn"", ""en"")"),"The Pratakshya Sangram Divas riots triggered several riots that year between Muslims and Hindu-Sikhs in Noakhali, Rangpur and Comilla.")</f>
        <v>The Pratakshya Sangram Divas riots triggered several riots that year between Muslims and Hindu-Sikhs in Noakhali, Rangpur and Comilla.</v>
      </c>
      <c r="D303" s="2"/>
      <c r="E303" s="2"/>
      <c r="F303" s="2"/>
      <c r="G303" s="2"/>
      <c r="H303" s="3"/>
      <c r="I303" s="3"/>
      <c r="J303" s="3"/>
      <c r="K303" s="3"/>
      <c r="L303" s="3"/>
      <c r="M303" s="3"/>
      <c r="N303" s="3"/>
      <c r="O303" s="3"/>
      <c r="P303" s="3"/>
      <c r="Q303" s="3"/>
      <c r="R303" s="3"/>
      <c r="S303" s="3"/>
      <c r="T303" s="3"/>
      <c r="U303" s="3"/>
      <c r="V303" s="3"/>
      <c r="W303" s="3"/>
      <c r="X303" s="3"/>
      <c r="Y303" s="3"/>
      <c r="Z303" s="3"/>
    </row>
    <row r="304" spans="1:26" ht="15.6" x14ac:dyDescent="0.3">
      <c r="A304" s="18" t="s">
        <v>23</v>
      </c>
      <c r="B304" s="25" t="s">
        <v>309</v>
      </c>
      <c r="C304" s="2" t="str">
        <f ca="1">IFERROR(__xludf.DUMMYFUNCTION("GOOGLETRANSLATE(B304, ""bn"", ""en"")"),"Today I was surprised to see the Holy Quran placed on the thigh of Hanuman idol in a puja mandap on the bank of Dighi in Nanua. Be it Hindu or Muslim, no real religious should have a hand in such work.")</f>
        <v>Today I was surprised to see the Holy Quran placed on the thigh of Hanuman idol in a puja mandap on the bank of Dighi in Nanua. Be it Hindu or Muslim, no real religious should have a hand in such work.</v>
      </c>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6" x14ac:dyDescent="0.3">
      <c r="A305" s="18" t="s">
        <v>8</v>
      </c>
      <c r="B305" s="25" t="s">
        <v>310</v>
      </c>
      <c r="C305" s="2" t="str">
        <f ca="1">IFERROR(__xludf.DUMMYFUNCTION("GOOGLETRANSLATE(B305, ""bn"", ""en"")"),"An idol was vandalized in a puja mandap in Chhota Shinga village of Tikikata union in Mathbaria upazila of Pirojpur.")</f>
        <v>An idol was vandalized in a puja mandap in Chhota Shinga village of Tikikata union in Mathbaria upazila of Pirojpur.</v>
      </c>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6" x14ac:dyDescent="0.3">
      <c r="A306" s="18" t="s">
        <v>3</v>
      </c>
      <c r="B306" s="25" t="s">
        <v>311</v>
      </c>
      <c r="C306" s="2" t="str">
        <f ca="1">IFERROR(__xludf.DUMMYFUNCTION("GOOGLETRANSLATE(B306, ""bn"", ""en"")"),"Don't give up religion for love but give up life for religion")</f>
        <v>Don't give up religion for love but give up life for religion</v>
      </c>
      <c r="D306" s="2"/>
      <c r="E306" s="2"/>
      <c r="F306" s="2"/>
      <c r="G306" s="2"/>
      <c r="H306" s="3"/>
      <c r="I306" s="3"/>
      <c r="J306" s="3"/>
      <c r="K306" s="3"/>
      <c r="L306" s="3"/>
      <c r="M306" s="3"/>
      <c r="N306" s="3"/>
      <c r="O306" s="3"/>
      <c r="P306" s="3"/>
      <c r="Q306" s="3"/>
      <c r="R306" s="3"/>
      <c r="S306" s="3"/>
      <c r="T306" s="3"/>
      <c r="U306" s="3"/>
      <c r="V306" s="3"/>
      <c r="W306" s="3"/>
      <c r="X306" s="3"/>
      <c r="Y306" s="3"/>
      <c r="Z306" s="3"/>
    </row>
    <row r="307" spans="1:26" ht="15.6" x14ac:dyDescent="0.3">
      <c r="A307" s="18" t="s">
        <v>5</v>
      </c>
      <c r="B307" s="24" t="s">
        <v>312</v>
      </c>
      <c r="C307" s="2" t="str">
        <f ca="1">IFERROR(__xludf.DUMMYFUNCTION("GOOGLETRANSLATE(B307, ""bn"", ""en"")"),"A communal clash erupted in gunfire between two religious groups, killing 36 people.")</f>
        <v>A communal clash erupted in gunfire between two religious groups, killing 36 people.</v>
      </c>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6" x14ac:dyDescent="0.3">
      <c r="A308" s="18" t="s">
        <v>3</v>
      </c>
      <c r="B308" s="25" t="s">
        <v>313</v>
      </c>
      <c r="C308" s="2" t="str">
        <f ca="1">IFERROR(__xludf.DUMMYFUNCTION("GOOGLETRANSLATE(B308, ""bn"", ""en"")"),"Attacking someone on religion is the saddest thing; It is purely personal and sacred, so there is no room for discrimination.")</f>
        <v>Attacking someone on religion is the saddest thing; It is purely personal and sacred, so there is no room for discrimination.</v>
      </c>
      <c r="D308" s="2"/>
      <c r="E308" s="2"/>
      <c r="F308" s="2"/>
      <c r="G308" s="2"/>
      <c r="H308" s="3"/>
      <c r="I308" s="3"/>
      <c r="J308" s="3"/>
      <c r="K308" s="3"/>
      <c r="L308" s="3"/>
      <c r="M308" s="3"/>
      <c r="N308" s="3"/>
      <c r="O308" s="3"/>
      <c r="P308" s="3"/>
      <c r="Q308" s="3"/>
      <c r="R308" s="3"/>
      <c r="S308" s="3"/>
      <c r="T308" s="3"/>
      <c r="U308" s="3"/>
      <c r="V308" s="3"/>
      <c r="W308" s="3"/>
      <c r="X308" s="3"/>
      <c r="Y308" s="3"/>
      <c r="Z308" s="3"/>
    </row>
    <row r="309" spans="1:26" ht="15.6" x14ac:dyDescent="0.3">
      <c r="A309" s="18" t="s">
        <v>5</v>
      </c>
      <c r="B309" s="26" t="s">
        <v>314</v>
      </c>
      <c r="C309" s="2" t="str">
        <f ca="1">IFERROR(__xludf.DUMMYFUNCTION("GOOGLETRANSLATE(B309, ""bn"", ""en"")"),"Six days later the court acquitted five non-Christians accused of inciting the murder and suicide of Christians and burning houses in riots, a brutal religious persecution against Christians.")</f>
        <v>Six days later the court acquitted five non-Christians accused of inciting the murder and suicide of Christians and burning houses in riots, a brutal religious persecution against Christians.</v>
      </c>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6" x14ac:dyDescent="0.3">
      <c r="A310" s="18" t="s">
        <v>23</v>
      </c>
      <c r="B310" s="25" t="s">
        <v>315</v>
      </c>
      <c r="C310" s="2" t="str">
        <f ca="1">IFERROR(__xludf.DUMMYFUNCTION("GOOGLETRANSLATE(B310, ""bn"", ""en"")"),"If you insult another religion, then there is no provision for punishment?")</f>
        <v>If you insult another religion, then there is no provision for punishment?</v>
      </c>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6" x14ac:dyDescent="0.3">
      <c r="A311" s="18" t="s">
        <v>23</v>
      </c>
      <c r="B311" s="25" t="s">
        <v>316</v>
      </c>
      <c r="C311" s="2" t="str">
        <f ca="1">IFERROR(__xludf.DUMMYFUNCTION("GOOGLETRANSLATE(B311, ""bn"", ""en"")"),"Ten minute school another secular 'Rashid'! He said that he had doubts about Islam a few days ago.")</f>
        <v>Ten minute school another secular 'Rashid'! He said that he had doubts about Islam a few days ago.</v>
      </c>
      <c r="D311" s="2"/>
      <c r="E311" s="2"/>
      <c r="F311" s="2"/>
      <c r="G311" s="2"/>
      <c r="H311" s="3"/>
      <c r="I311" s="3"/>
      <c r="J311" s="3"/>
      <c r="K311" s="3"/>
      <c r="L311" s="3"/>
      <c r="M311" s="3"/>
      <c r="N311" s="3"/>
      <c r="O311" s="3"/>
      <c r="P311" s="3"/>
      <c r="Q311" s="3"/>
      <c r="R311" s="3"/>
      <c r="S311" s="3"/>
      <c r="T311" s="3"/>
      <c r="U311" s="3"/>
      <c r="V311" s="3"/>
      <c r="W311" s="3"/>
      <c r="X311" s="3"/>
      <c r="Y311" s="3"/>
      <c r="Z311" s="3"/>
    </row>
    <row r="312" spans="1:26" ht="15.6" x14ac:dyDescent="0.3">
      <c r="A312" s="18" t="s">
        <v>8</v>
      </c>
      <c r="B312" s="25" t="s">
        <v>317</v>
      </c>
      <c r="C312" s="2" t="str">
        <f ca="1">IFERROR(__xludf.DUMMYFUNCTION("GOOGLETRANSLATE(B312, ""bn"", ""en"")"),"On February 28, activists of Jamaat-e-Islami and its student wing Islami Chhatra Shibir attacked a Hindu temple and destroyed Hindu-owned businesses in Gaibandha district.")</f>
        <v>On February 28, activists of Jamaat-e-Islami and its student wing Islami Chhatra Shibir attacked a Hindu temple and destroyed Hindu-owned businesses in Gaibandha district.</v>
      </c>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6" x14ac:dyDescent="0.3">
      <c r="A313" s="18" t="s">
        <v>3</v>
      </c>
      <c r="B313" s="25" t="s">
        <v>318</v>
      </c>
      <c r="C313" s="2" t="str">
        <f ca="1">IFERROR(__xludf.DUMMYFUNCTION("GOOGLETRANSLATE(B313, ""bn"", ""en"")"),"The words are from 2019, I still remember them. After watching this series of Basira, I changed myself and fell in love with Almighty Allah.")</f>
        <v>The words are from 2019, I still remember them. After watching this series of Basira, I changed myself and fell in love with Almighty Allah.</v>
      </c>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6" x14ac:dyDescent="0.3">
      <c r="A314" s="18" t="s">
        <v>5</v>
      </c>
      <c r="B314" s="25" t="s">
        <v>319</v>
      </c>
      <c r="C314" s="2" t="str">
        <f ca="1">IFERROR(__xludf.DUMMYFUNCTION("GOOGLETRANSLATE(B314, ""bn"", ""en"")"),"Many people are driven to murder and suicide by this religious hatred, stained with the blood of innocent people, which shows a sad picture of not only personal but also national failure, every killing is a silent murder.")</f>
        <v>Many people are driven to murder and suicide by this religious hatred, stained with the blood of innocent people, which shows a sad picture of not only personal but also national failure, every killing is a silent murder.</v>
      </c>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6" x14ac:dyDescent="0.3">
      <c r="A315" s="18" t="s">
        <v>23</v>
      </c>
      <c r="B315" s="25" t="s">
        <v>320</v>
      </c>
      <c r="C315" s="2" t="str">
        <f ca="1">IFERROR(__xludf.DUMMYFUNCTION("GOOGLETRANSLATE(B315, ""bn"", ""en"")"),"Respected Muslim and non-Muslim teachers, should we harass students with such anti-Islam attitude from teachers in our campus??")</f>
        <v>Respected Muslim and non-Muslim teachers, should we harass students with such anti-Islam attitude from teachers in our campus??</v>
      </c>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6" x14ac:dyDescent="0.3">
      <c r="A316" s="19" t="s">
        <v>5</v>
      </c>
      <c r="B316" s="26" t="s">
        <v>321</v>
      </c>
      <c r="C316" s="2" t="str">
        <f ca="1">IFERROR(__xludf.DUMMYFUNCTION("GOOGLETRANSLATE(B316, ""bn"", ""en"")"),"Taya Jinkin, a reporter for the London Economist and Manchester Guardian, reported that a train bound for Mymensingh from Ashuganj to Mymensingh was forced to stop at the Bhairav ​​Bridge over the Meghna River by a frenzied Muslim mob. Armed Muslim mobs a"&amp;"ttacked from both sides of the bridge. The unfortunate Hindu passengers who tried to save their lives by jumping into the river and climbing ashore were stoned to death and many passengers were killed. Killed by drowning in the river.")</f>
        <v>Taya Jinkin, a reporter for the London Economist and Manchester Guardian, reported that a train bound for Mymensingh from Ashuganj to Mymensingh was forced to stop at the Bhairav ​​Bridge over the Meghna River by a frenzied Muslim mob. Armed Muslim mobs attacked from both sides of the bridge. The unfortunate Hindu passengers who tried to save their lives by jumping into the river and climbing ashore were stoned to death and many passengers were killed. Killed by drowning in the river.</v>
      </c>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6" x14ac:dyDescent="0.3">
      <c r="A317" s="18" t="s">
        <v>8</v>
      </c>
      <c r="B317" s="25" t="s">
        <v>322</v>
      </c>
      <c r="C317" s="2" t="str">
        <f ca="1">IFERROR(__xludf.DUMMYFUNCTION("GOOGLETRANSLATE(B317, ""bn"", ""en"")"),"The staunch Hindu king Shashanka carried out the Buddhist extermination campaign up to the foothills of Nepal, the birthplace of Gautama Buddha. It is mentioned in the book 'Arya Mukhsree Moolakalpa' that he oppressed and oppressed not only Buddhism but J"&amp;"ainism equally.")</f>
        <v>The staunch Hindu king Shashanka carried out the Buddhist extermination campaign up to the foothills of Nepal, the birthplace of Gautama Buddha. It is mentioned in the book 'Arya Mukhsree Moolakalpa' that he oppressed and oppressed not only Buddhism but Jainism equally.</v>
      </c>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6" x14ac:dyDescent="0.3">
      <c r="A318" s="19" t="s">
        <v>3</v>
      </c>
      <c r="B318" s="26" t="s">
        <v>323</v>
      </c>
      <c r="C318" s="2" t="str">
        <f ca="1">IFERROR(__xludf.DUMMYFUNCTION("GOOGLETRANSLATE(B318, ""bn"", ""en"")"),"About 200 yards away from the mosque was an old Kali temple. Rajapur village is a completely Hindu dominated village. There are no Muslims in the area. So the Hindus requested Professor Hamida Khatun to build a mosque 500 yards away.")</f>
        <v>About 200 yards away from the mosque was an old Kali temple. Rajapur village is a completely Hindu dominated village. There are no Muslims in the area. So the Hindus requested Professor Hamida Khatun to build a mosque 500 yards away.</v>
      </c>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6" x14ac:dyDescent="0.3">
      <c r="A319" s="18" t="s">
        <v>5</v>
      </c>
      <c r="B319" s="24" t="s">
        <v>324</v>
      </c>
      <c r="C319" s="2" t="str">
        <f ca="1">IFERROR(__xludf.DUMMYFUNCTION("GOOGLETRANSLATE(B319, ""bn"", ""en"")"),"Gas cylinder explosion in a mosque by religious extremists, 35 killed.")</f>
        <v>Gas cylinder explosion in a mosque by religious extremists, 35 killed.</v>
      </c>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6" x14ac:dyDescent="0.3">
      <c r="A320" s="19" t="s">
        <v>3</v>
      </c>
      <c r="B320" s="26" t="s">
        <v>325</v>
      </c>
      <c r="C320" s="2" t="str">
        <f ca="1">IFERROR(__xludf.DUMMYFUNCTION("GOOGLETRANSLATE(B320, ""bn"", ""en"")"),"According to the guidance of the Qur'an, Islam ensures the establishment of peace and equality.")</f>
        <v>According to the guidance of the Qur'an, Islam ensures the establishment of peace and equality.</v>
      </c>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6" x14ac:dyDescent="0.3">
      <c r="A321" s="18" t="s">
        <v>3</v>
      </c>
      <c r="B321" s="25" t="s">
        <v>326</v>
      </c>
      <c r="C321" s="2" t="str">
        <f ca="1">IFERROR(__xludf.DUMMYFUNCTION("GOOGLETRANSLATE(B321, ""bn"", ""en"")"),"Quran Sharif is the only solution to all problems, just search.")</f>
        <v>Quran Sharif is the only solution to all problems, just search.</v>
      </c>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6" x14ac:dyDescent="0.3">
      <c r="A322" s="18" t="s">
        <v>8</v>
      </c>
      <c r="B322" s="25" t="s">
        <v>327</v>
      </c>
      <c r="C322" s="2" t="str">
        <f ca="1">IFERROR(__xludf.DUMMYFUNCTION("GOOGLETRANSLATE(B322, ""bn"", ""en"")"),"On March 21, Monday afternoon, a radical Muslim man named Ejazul Islam Khan came on top of the gate of Deva Mandir at Calvert Road No. 7, Tilpapara, Khilgaon and vandalized the idol.")</f>
        <v>On March 21, Monday afternoon, a radical Muslim man named Ejazul Islam Khan came on top of the gate of Deva Mandir at Calvert Road No. 7, Tilpapara, Khilgaon and vandalized the idol.</v>
      </c>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6" x14ac:dyDescent="0.3">
      <c r="A323" s="18" t="s">
        <v>23</v>
      </c>
      <c r="B323" s="24" t="s">
        <v>328</v>
      </c>
      <c r="C323" s="2" t="str">
        <f ca="1">IFERROR(__xludf.DUMMYFUNCTION("GOOGLETRANSLATE(B323, ""bn"", ""en"")"),"Muslim extremists want to establish their own religion over other religions and spread hatred towards other religions.")</f>
        <v>Muslim extremists want to establish their own religion over other religions and spread hatred towards other religions.</v>
      </c>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6" x14ac:dyDescent="0.3">
      <c r="A324" s="18" t="s">
        <v>5</v>
      </c>
      <c r="B324" s="25" t="s">
        <v>329</v>
      </c>
      <c r="C324" s="2" t="str">
        <f ca="1">IFERROR(__xludf.DUMMYFUNCTION("GOOGLETRANSLATE(B324, ""bn"", ""en"")"),"Pity in the country of 90 percent Muslim. Lovers of the Qur'an are shot like birds.")</f>
        <v>Pity in the country of 90 percent Muslim. Lovers of the Qur'an are shot like birds.</v>
      </c>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6" x14ac:dyDescent="0.3">
      <c r="A325" s="18" t="s">
        <v>23</v>
      </c>
      <c r="B325" s="25" t="s">
        <v>330</v>
      </c>
      <c r="C325" s="2" t="str">
        <f ca="1">IFERROR(__xludf.DUMMYFUNCTION("GOOGLETRANSLATE(B325, ""bn"", ""en"")"),"Those who, knowing the truth, do not protest injustice, but instead take the side of the powerful, have they forgotten their faith and accountability in the hereafter?")</f>
        <v>Those who, knowing the truth, do not protest injustice, but instead take the side of the powerful, have they forgotten their faith and accountability in the hereafter?</v>
      </c>
      <c r="D325" s="2"/>
      <c r="E325" s="2"/>
      <c r="F325" s="2"/>
      <c r="G325" s="2"/>
      <c r="H325" s="3"/>
      <c r="I325" s="3"/>
      <c r="J325" s="3"/>
      <c r="K325" s="3"/>
      <c r="L325" s="3"/>
      <c r="M325" s="3"/>
      <c r="N325" s="3"/>
      <c r="O325" s="3"/>
      <c r="P325" s="3"/>
      <c r="Q325" s="3"/>
      <c r="R325" s="3"/>
      <c r="S325" s="3"/>
      <c r="T325" s="3"/>
      <c r="U325" s="3"/>
      <c r="V325" s="3"/>
      <c r="W325" s="3"/>
      <c r="X325" s="3"/>
      <c r="Y325" s="3"/>
      <c r="Z325" s="3"/>
    </row>
    <row r="326" spans="1:26" ht="15.6" x14ac:dyDescent="0.3">
      <c r="A326" s="18" t="s">
        <v>8</v>
      </c>
      <c r="B326" s="25" t="s">
        <v>331</v>
      </c>
      <c r="C326" s="2" t="str">
        <f ca="1">IFERROR(__xludf.DUMMYFUNCTION("GOOGLETRANSLATE(B326, ""bn"", ""en"")"),"After an attack on a temple in Bangladesh, a delegation went to the scene and blamed other groups as if they were the ones who attacked the Buddhists.")</f>
        <v>After an attack on a temple in Bangladesh, a delegation went to the scene and blamed other groups as if they were the ones who attacked the Buddhists.</v>
      </c>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6" x14ac:dyDescent="0.3">
      <c r="A327" s="18" t="s">
        <v>8</v>
      </c>
      <c r="B327" s="24" t="s">
        <v>332</v>
      </c>
      <c r="C327" s="2" t="str">
        <f ca="1">IFERROR(__xludf.DUMMYFUNCTION("GOOGLETRANSLATE(B327, ""bn"", ""en"")"),"On 15 February 2024 miscreants entered an old Durga temple in Gangni upazila of Meherpur district late at night and broke the head and right hand of the main Durga idol and vandalized other idols of the temple.")</f>
        <v>On 15 February 2024 miscreants entered an old Durga temple in Gangni upazila of Meherpur district late at night and broke the head and right hand of the main Durga idol and vandalized other idols of the temple.</v>
      </c>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6" x14ac:dyDescent="0.3">
      <c r="A328" s="18" t="s">
        <v>5</v>
      </c>
      <c r="B328" s="24" t="s">
        <v>333</v>
      </c>
      <c r="C328" s="2" t="str">
        <f ca="1">IFERROR(__xludf.DUMMYFUNCTION("GOOGLETRANSLATE(B328, ""bn"", ""en"")"),"In September 2018, a blogger was publicly beheaded for expressing religious dissent; 15 people lost their lives in the protest.")</f>
        <v>In September 2018, a blogger was publicly beheaded for expressing religious dissent; 15 people lost their lives in the protest.</v>
      </c>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6" x14ac:dyDescent="0.3">
      <c r="A329" s="18" t="s">
        <v>3</v>
      </c>
      <c r="B329" s="25" t="s">
        <v>334</v>
      </c>
      <c r="C329" s="2" t="str">
        <f ca="1">IFERROR(__xludf.DUMMYFUNCTION("GOOGLETRANSLATE(B329, ""bn"", ""en"")"),"In the Qur'an, Allah commands people to respect and help each other, including non-believers, in order to foster love and compassion among people.")</f>
        <v>In the Qur'an, Allah commands people to respect and help each other, including non-believers, in order to foster love and compassion among people.</v>
      </c>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6" x14ac:dyDescent="0.3">
      <c r="A330" s="18" t="s">
        <v>8</v>
      </c>
      <c r="B330" s="25" t="s">
        <v>335</v>
      </c>
      <c r="C330" s="2" t="str">
        <f ca="1">IFERROR(__xludf.DUMMYFUNCTION("GOOGLETRANSLATE(B330, ""bn"", ""en"")"),"Recently, there have been reports in the media that some priests of the Christian faith have also been threatened. In that case too we would like to remind you of the same. Attacks on religious centers, places of worship and individuals of any minority co"&amp;"mmunity are not permitted in Islamic Sharia.")</f>
        <v>Recently, there have been reports in the media that some priests of the Christian faith have also been threatened. In that case too we would like to remind you of the same. Attacks on religious centers, places of worship and individuals of any minority community are not permitted in Islamic Sharia.</v>
      </c>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6" x14ac:dyDescent="0.3">
      <c r="A331" s="18" t="s">
        <v>3</v>
      </c>
      <c r="B331" s="25" t="s">
        <v>336</v>
      </c>
      <c r="C331" s="2" t="str">
        <f ca="1">IFERROR(__xludf.DUMMYFUNCTION("GOOGLETRANSLATE(B331, ""bn"", ""en"")"),"The Islamic interpretation of death is so comprehensive that it is as clear as a picture.")</f>
        <v>The Islamic interpretation of death is so comprehensive that it is as clear as a picture.</v>
      </c>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6" x14ac:dyDescent="0.3">
      <c r="A332" s="18" t="s">
        <v>3</v>
      </c>
      <c r="B332" s="25" t="s">
        <v>337</v>
      </c>
      <c r="C332" s="2" t="str">
        <f ca="1">IFERROR(__xludf.DUMMYFUNCTION("GOOGLETRANSLATE(B332, ""bn"", ""en"")"),"Temple priest Parmananda Giri blessed and assured the residents of the temple and ashram that this sacred and spiritual place would remain safe.")</f>
        <v>Temple priest Parmananda Giri blessed and assured the residents of the temple and ashram that this sacred and spiritual place would remain safe.</v>
      </c>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6" x14ac:dyDescent="0.3">
      <c r="A333" s="19" t="s">
        <v>3</v>
      </c>
      <c r="B333" s="26" t="s">
        <v>338</v>
      </c>
      <c r="C333" s="2" t="str">
        <f ca="1">IFERROR(__xludf.DUMMYFUNCTION("GOOGLETRANSLATE(B333, ""bn"", ""en"")"),"If the punishment for insulting Islam was death, no infidel would have survived in the time of the Prophet; We should be more tolerant.")</f>
        <v>If the punishment for insulting Islam was death, no infidel would have survived in the time of the Prophet; We should be more tolerant.</v>
      </c>
      <c r="D333" s="7"/>
      <c r="E333" s="7"/>
      <c r="F333" s="7"/>
      <c r="G333" s="7"/>
      <c r="H333" s="7"/>
      <c r="I333" s="5"/>
      <c r="J333" s="5"/>
      <c r="K333" s="5"/>
      <c r="L333" s="5"/>
      <c r="M333" s="5"/>
      <c r="N333" s="5"/>
      <c r="O333" s="5"/>
      <c r="P333" s="5"/>
      <c r="Q333" s="5"/>
      <c r="R333" s="5"/>
      <c r="S333" s="5"/>
      <c r="T333" s="5"/>
      <c r="U333" s="5"/>
      <c r="V333" s="5"/>
      <c r="W333" s="5"/>
      <c r="X333" s="5"/>
      <c r="Y333" s="5"/>
      <c r="Z333" s="5"/>
    </row>
    <row r="334" spans="1:26" ht="15.6" x14ac:dyDescent="0.3">
      <c r="A334" s="18" t="s">
        <v>5</v>
      </c>
      <c r="B334" s="24" t="s">
        <v>339</v>
      </c>
      <c r="C334" s="2" t="str">
        <f ca="1">IFERROR(__xludf.DUMMYFUNCTION("GOOGLETRANSLATE(B334, ""bn"", ""en"")"),"At least 40 people were killed in communal clashes in Barisal after attacks on the minority Hindu community. The attackers burnt temples and houses. Security forces failed to control the situation.")</f>
        <v>At least 40 people were killed in communal clashes in Barisal after attacks on the minority Hindu community. The attackers burnt temples and houses. Security forces failed to control the situation.</v>
      </c>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6" x14ac:dyDescent="0.3">
      <c r="A335" s="19" t="s">
        <v>23</v>
      </c>
      <c r="B335" s="26" t="s">
        <v>340</v>
      </c>
      <c r="C335" s="2" t="str">
        <f ca="1">IFERROR(__xludf.DUMMYFUNCTION("GOOGLETRANSLATE(B335, ""bn"", ""en"")"),"The movement of the converts was under the control of the Muslims. Sometimes they had to take the permission of the local Muslim leaders to go outside the village. In Khalishpara under Ramganj police station, the Muslims forced written extortion from the "&amp;"Hindu converts. does.[41]")</f>
        <v>The movement of the converts was under the control of the Muslims. Sometimes they had to take the permission of the local Muslim leaders to go outside the village. In Khalishpara under Ramganj police station, the Muslims forced written extortion from the Hindu converts. does.[41]</v>
      </c>
      <c r="D335" s="7"/>
      <c r="E335" s="5"/>
      <c r="F335" s="5"/>
      <c r="G335" s="5"/>
      <c r="H335" s="5"/>
      <c r="I335" s="5"/>
      <c r="J335" s="5"/>
      <c r="K335" s="5"/>
      <c r="L335" s="5"/>
      <c r="M335" s="5"/>
      <c r="N335" s="5"/>
      <c r="O335" s="5"/>
      <c r="P335" s="5"/>
      <c r="Q335" s="5"/>
      <c r="R335" s="5"/>
      <c r="S335" s="5"/>
      <c r="T335" s="5"/>
      <c r="U335" s="5"/>
      <c r="V335" s="5"/>
      <c r="W335" s="5"/>
      <c r="X335" s="5"/>
      <c r="Y335" s="5"/>
      <c r="Z335" s="5"/>
    </row>
    <row r="336" spans="1:26" ht="15.6" x14ac:dyDescent="0.3">
      <c r="A336" s="18" t="s">
        <v>8</v>
      </c>
      <c r="B336" s="25" t="s">
        <v>341</v>
      </c>
      <c r="C336" s="2" t="str">
        <f ca="1">IFERROR(__xludf.DUMMYFUNCTION("GOOGLETRANSLATE(B336, ""bn"", ""en"")"),"Communal violence erupted on Friday, July 15 in Dighlia Bazaar of Lohagara Upazila in Narail over a Facebook post. Akash Saha, 18, was charged over the Facebook post and father Ashok Saha was detained by the police.")</f>
        <v>Communal violence erupted on Friday, July 15 in Dighlia Bazaar of Lohagara Upazila in Narail over a Facebook post. Akash Saha, 18, was charged over the Facebook post and father Ashok Saha was detained by the police.</v>
      </c>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6" x14ac:dyDescent="0.3">
      <c r="A337" s="19" t="s">
        <v>8</v>
      </c>
      <c r="B337" s="26" t="s">
        <v>342</v>
      </c>
      <c r="C337" s="2" t="str">
        <f ca="1">IFERROR(__xludf.DUMMYFUNCTION("GOOGLETRANSLATE(B337, ""bn"", ""en"")"),"In Brahmanpara, the houses of five people including Hiren Babu, Dhiren Roy, Montu were set on fire and 10 houses were vandalized. Muslim attackers looted in front of the administration.")</f>
        <v>In Brahmanpara, the houses of five people including Hiren Babu, Dhiren Roy, Montu were set on fire and 10 houses were vandalized. Muslim attackers looted in front of the administration.</v>
      </c>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6" x14ac:dyDescent="0.3">
      <c r="A338" s="18" t="s">
        <v>8</v>
      </c>
      <c r="B338" s="24" t="s">
        <v>343</v>
      </c>
      <c r="C338" s="2" t="str">
        <f ca="1">IFERROR(__xludf.DUMMYFUNCTION("GOOGLETRANSLATE(B338, ""bn"", ""en"")"),"On June 19, 2023, miscreants completely demolished the under-construction idol at Aditmari in Lalmonirhat during the night.")</f>
        <v>On June 19, 2023, miscreants completely demolished the under-construction idol at Aditmari in Lalmonirhat during the night.</v>
      </c>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6" x14ac:dyDescent="0.3">
      <c r="A339" s="18" t="s">
        <v>5</v>
      </c>
      <c r="B339" s="24" t="s">
        <v>344</v>
      </c>
      <c r="C339" s="2" t="str">
        <f ca="1">IFERROR(__xludf.DUMMYFUNCTION("GOOGLETRANSLATE(B339, ""bn"", ""en"")"),"A madrassa was burnt down on charges of religious discrimination, and students were trampled to death as they fled. Total killed: 42 people.")</f>
        <v>A madrassa was burnt down on charges of religious discrimination, and students were trampled to death as they fled. Total killed: 42 people.</v>
      </c>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6" x14ac:dyDescent="0.3">
      <c r="A340" s="19" t="s">
        <v>23</v>
      </c>
      <c r="B340" s="26" t="s">
        <v>345</v>
      </c>
      <c r="C340" s="2" t="str">
        <f ca="1">IFERROR(__xludf.DUMMYFUNCTION("GOOGLETRANSLATE(B340, ""bn"", ""en"")"),"Everyone will observe their own religion and religious ceremonies. But attacks on Muslims' iftar parties and tarabi have been banned. What does this mean?")</f>
        <v>Everyone will observe their own religion and religious ceremonies. But attacks on Muslims' iftar parties and tarabi have been banned. What does this mean?</v>
      </c>
      <c r="D340" s="7"/>
      <c r="E340" s="7"/>
      <c r="F340" s="7"/>
      <c r="G340" s="7"/>
      <c r="H340" s="7"/>
      <c r="I340" s="7"/>
      <c r="J340" s="5"/>
      <c r="K340" s="5"/>
      <c r="L340" s="5"/>
      <c r="M340" s="5"/>
      <c r="N340" s="5"/>
      <c r="O340" s="5"/>
      <c r="P340" s="5"/>
      <c r="Q340" s="5"/>
      <c r="R340" s="5"/>
      <c r="S340" s="5"/>
      <c r="T340" s="5"/>
      <c r="U340" s="5"/>
      <c r="V340" s="5"/>
      <c r="W340" s="5"/>
      <c r="X340" s="5"/>
      <c r="Y340" s="5"/>
      <c r="Z340" s="5"/>
    </row>
    <row r="341" spans="1:26" ht="15.6" x14ac:dyDescent="0.3">
      <c r="A341" s="18" t="s">
        <v>5</v>
      </c>
      <c r="B341" s="24" t="s">
        <v>346</v>
      </c>
      <c r="C341" s="2" t="str">
        <f ca="1">IFERROR(__xludf.DUMMYFUNCTION("GOOGLETRANSLATE(B341, ""bn"", ""en"")"),"Hindu miscreants killed 25 people by setting fire to the house of a group of Muslims for slaughtering cows")</f>
        <v>Hindu miscreants killed 25 people by setting fire to the house of a group of Muslims for slaughtering cows</v>
      </c>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6" x14ac:dyDescent="0.3">
      <c r="A342" s="18" t="s">
        <v>23</v>
      </c>
      <c r="B342" s="25" t="s">
        <v>347</v>
      </c>
      <c r="C342" s="2" t="str">
        <f ca="1">IFERROR(__xludf.DUMMYFUNCTION("GOOGLETRANSLATE(B342, ""bn"", ""en"")"),"We are appalled by the arrogance of non-Muslim pagans in a Muslim-majority country. The incident of the Buddhist youth is not the first incident in this regard. Insulting of Islam and the Prophet of Islam by a section of Hindus and Hindus is happening con"&amp;"tinuously.")</f>
        <v>We are appalled by the arrogance of non-Muslim pagans in a Muslim-majority country. The incident of the Buddhist youth is not the first incident in this regard. Insulting of Islam and the Prophet of Islam by a section of Hindus and Hindus is happening continuously.</v>
      </c>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6" x14ac:dyDescent="0.3">
      <c r="A343" s="18" t="s">
        <v>8</v>
      </c>
      <c r="B343" s="25" t="s">
        <v>348</v>
      </c>
      <c r="C343" s="2" t="str">
        <f ca="1">IFERROR(__xludf.DUMMYFUNCTION("GOOGLETRANSLATE(B343, ""bn"", ""en"")"),"On 29 October 1990, the newspaper 'Dainik Inkilab', funded by the Islamic political party Jamaat-e-Islami, published the headline 'Babri Masjid demolished'. [3] As a result, rumors of Babri Masjid demolition spread throughout Bangladesh. And in this, ever"&amp;"yone's anxiety reaches its highest level.")</f>
        <v>On 29 October 1990, the newspaper 'Dainik Inkilab', funded by the Islamic political party Jamaat-e-Islami, published the headline 'Babri Masjid demolished'. [3] As a result, rumors of Babri Masjid demolition spread throughout Bangladesh. And in this, everyone's anxiety reaches its highest level.</v>
      </c>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6" x14ac:dyDescent="0.3">
      <c r="A344" s="19" t="s">
        <v>3</v>
      </c>
      <c r="B344" s="26" t="s">
        <v>349</v>
      </c>
      <c r="C344" s="2" t="str">
        <f ca="1">IFERROR(__xludf.DUMMYFUNCTION("GOOGLETRANSLATE(B344, ""bn"", ""en"")"),"Some scholars believe that it is reasonable to go to Muslim cemeteries at night to recite the Qur'an and pray for the dead.")</f>
        <v>Some scholars believe that it is reasonable to go to Muslim cemeteries at night to recite the Qur'an and pray for the dead.</v>
      </c>
      <c r="D344" s="7"/>
      <c r="E344" s="7"/>
      <c r="F344" s="7"/>
      <c r="G344" s="7"/>
      <c r="H344" s="7"/>
      <c r="I344" s="5"/>
      <c r="J344" s="5"/>
      <c r="K344" s="5"/>
      <c r="L344" s="5"/>
      <c r="M344" s="5"/>
      <c r="N344" s="5"/>
      <c r="O344" s="5"/>
      <c r="P344" s="5"/>
      <c r="Q344" s="5"/>
      <c r="R344" s="5"/>
      <c r="S344" s="5"/>
      <c r="T344" s="5"/>
      <c r="U344" s="5"/>
      <c r="V344" s="5"/>
      <c r="W344" s="5"/>
      <c r="X344" s="5"/>
      <c r="Y344" s="5"/>
      <c r="Z344" s="5"/>
    </row>
    <row r="345" spans="1:26" ht="15.6" x14ac:dyDescent="0.3">
      <c r="A345" s="19" t="s">
        <v>23</v>
      </c>
      <c r="B345" s="26" t="s">
        <v>350</v>
      </c>
      <c r="C345" s="2" t="str">
        <f ca="1">IFERROR(__xludf.DUMMYFUNCTION("GOOGLETRANSLATE(B345, ""bn"", ""en"")"),"Last year, the auditorium was not allowed as the venue for the awarding ceremony of the ""Qur'an Translation Reading Competition"".")</f>
        <v>Last year, the auditorium was not allowed as the venue for the awarding ceremony of the "Qur'an Translation Reading Competition".</v>
      </c>
      <c r="D345" s="7"/>
      <c r="E345" s="7"/>
      <c r="F345" s="7"/>
      <c r="G345" s="7"/>
      <c r="H345" s="7"/>
      <c r="I345" s="7"/>
      <c r="J345" s="5"/>
      <c r="K345" s="5"/>
      <c r="L345" s="5"/>
      <c r="M345" s="5"/>
      <c r="N345" s="5"/>
      <c r="O345" s="5"/>
      <c r="P345" s="5"/>
      <c r="Q345" s="5"/>
      <c r="R345" s="5"/>
      <c r="S345" s="5"/>
      <c r="T345" s="5"/>
      <c r="U345" s="5"/>
      <c r="V345" s="5"/>
      <c r="W345" s="5"/>
      <c r="X345" s="5"/>
      <c r="Y345" s="5"/>
      <c r="Z345" s="5"/>
    </row>
    <row r="346" spans="1:26" ht="15.6" x14ac:dyDescent="0.3">
      <c r="A346" s="18" t="s">
        <v>5</v>
      </c>
      <c r="B346" s="24" t="s">
        <v>351</v>
      </c>
      <c r="C346" s="2" t="str">
        <f ca="1">IFERROR(__xludf.DUMMYFUNCTION("GOOGLETRANSLATE(B346, ""bn"", ""en"")"),"In September 2020, police opened fire on a protest by a religious community, killing 22 people and causing widespread chaos.")</f>
        <v>In September 2020, police opened fire on a protest by a religious community, killing 22 people and causing widespread chaos.</v>
      </c>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6" x14ac:dyDescent="0.3">
      <c r="A347" s="18" t="s">
        <v>5</v>
      </c>
      <c r="B347" s="25" t="s">
        <v>352</v>
      </c>
      <c r="C347" s="2" t="str">
        <f ca="1">IFERROR(__xludf.DUMMYFUNCTION("GOOGLETRANSLATE(B347, ""bn"", ""en"")"),"Another group of Muslims attacked the house of Jashoda Pal and Bharat Bhuiyan in Gobindpur of Ramganj Police Station. They brutally killed 16 members of the family by tying them with ropes and burning them alive. The women of the house are also raped.")</f>
        <v>Another group of Muslims attacked the house of Jashoda Pal and Bharat Bhuiyan in Gobindpur of Ramganj Police Station. They brutally killed 16 members of the family by tying them with ropes and burning them alive. The women of the house are also raped.</v>
      </c>
      <c r="D347" s="6"/>
      <c r="E347" s="6"/>
      <c r="F347" s="6"/>
      <c r="G347" s="6"/>
      <c r="H347" s="3"/>
      <c r="I347" s="3"/>
      <c r="J347" s="3"/>
      <c r="K347" s="3"/>
      <c r="L347" s="3"/>
      <c r="M347" s="3"/>
      <c r="N347" s="3"/>
      <c r="O347" s="3"/>
      <c r="P347" s="3"/>
      <c r="Q347" s="3"/>
      <c r="R347" s="3"/>
      <c r="S347" s="3"/>
      <c r="T347" s="3"/>
      <c r="U347" s="3"/>
      <c r="V347" s="3"/>
      <c r="W347" s="3"/>
      <c r="X347" s="3"/>
      <c r="Y347" s="3"/>
      <c r="Z347" s="3"/>
    </row>
    <row r="348" spans="1:26" ht="15.6" x14ac:dyDescent="0.3">
      <c r="A348" s="18" t="s">
        <v>23</v>
      </c>
      <c r="B348" s="25" t="s">
        <v>353</v>
      </c>
      <c r="C348" s="2" t="str">
        <f ca="1">IFERROR(__xludf.DUMMYFUNCTION("GOOGLETRANSLATE(B348, ""bn"", ""en"")"),"Hey atheist media kid, this is only a holy place for Muslims, no one else.")</f>
        <v>Hey atheist media kid, this is only a holy place for Muslims, no one else.</v>
      </c>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6" x14ac:dyDescent="0.3">
      <c r="A349" s="18" t="s">
        <v>5</v>
      </c>
      <c r="B349" s="24" t="s">
        <v>354</v>
      </c>
      <c r="C349" s="2" t="str">
        <f ca="1">IFERROR(__xludf.DUMMYFUNCTION("GOOGLETRANSLATE(B349, ""bn"", ""en"")"),"On one journey, bus passengers were alighted and killed, female passengers were gang-raped; The death toll is 61.")</f>
        <v>On one journey, bus passengers were alighted and killed, female passengers were gang-raped; The death toll is 61.</v>
      </c>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6" x14ac:dyDescent="0.3">
      <c r="A350" s="19" t="s">
        <v>3</v>
      </c>
      <c r="B350" s="26" t="s">
        <v>355</v>
      </c>
      <c r="C350" s="2" t="str">
        <f ca="1">IFERROR(__xludf.DUMMYFUNCTION("GOOGLETRANSLATE(B350, ""bn"", ""en"")"),"Care about religion and culture, keep track of what your child is doing in Dhaka city; Understand their reality till death.")</f>
        <v>Care about religion and culture, keep track of what your child is doing in Dhaka city; Understand their reality till death.</v>
      </c>
      <c r="D350" s="7"/>
      <c r="E350" s="7"/>
      <c r="F350" s="7"/>
      <c r="G350" s="7"/>
      <c r="H350" s="5"/>
      <c r="I350" s="5"/>
      <c r="J350" s="5"/>
      <c r="K350" s="5"/>
      <c r="L350" s="5"/>
      <c r="M350" s="5"/>
      <c r="N350" s="5"/>
      <c r="O350" s="5"/>
      <c r="P350" s="5"/>
      <c r="Q350" s="5"/>
      <c r="R350" s="5"/>
      <c r="S350" s="5"/>
      <c r="T350" s="5"/>
      <c r="U350" s="5"/>
      <c r="V350" s="5"/>
      <c r="W350" s="5"/>
      <c r="X350" s="5"/>
      <c r="Y350" s="5"/>
      <c r="Z350" s="5"/>
    </row>
    <row r="351" spans="1:26" ht="15.6" x14ac:dyDescent="0.3">
      <c r="A351" s="18" t="s">
        <v>3</v>
      </c>
      <c r="B351" s="25" t="s">
        <v>356</v>
      </c>
      <c r="C351" s="2" t="str">
        <f ca="1">IFERROR(__xludf.DUMMYFUNCTION("GOOGLETRANSLATE(B351, ""bn"", ""en"")"),"Religion gives people a deeper understanding of life. It helps him find introspection and self-identity, which establishes inner peace in his life.")</f>
        <v>Religion gives people a deeper understanding of life. It helps him find introspection and self-identity, which establishes inner peace in his life.</v>
      </c>
      <c r="D351" s="2"/>
      <c r="E351" s="2"/>
      <c r="F351" s="2"/>
      <c r="G351" s="2"/>
      <c r="H351" s="3"/>
      <c r="I351" s="3"/>
      <c r="J351" s="3"/>
      <c r="K351" s="3"/>
      <c r="L351" s="3"/>
      <c r="M351" s="3"/>
      <c r="N351" s="3"/>
      <c r="O351" s="3"/>
      <c r="P351" s="3"/>
      <c r="Q351" s="3"/>
      <c r="R351" s="3"/>
      <c r="S351" s="3"/>
      <c r="T351" s="3"/>
      <c r="U351" s="3"/>
      <c r="V351" s="3"/>
      <c r="W351" s="3"/>
      <c r="X351" s="3"/>
      <c r="Y351" s="3"/>
      <c r="Z351" s="3"/>
    </row>
    <row r="352" spans="1:26" ht="15.6" x14ac:dyDescent="0.3">
      <c r="A352" s="19" t="s">
        <v>5</v>
      </c>
      <c r="B352" s="26" t="s">
        <v>357</v>
      </c>
      <c r="C352" s="2" t="str">
        <f ca="1">IFERROR(__xludf.DUMMYFUNCTION("GOOGLETRANSLATE(B352, ""bn"", ""en"")"),"About 60 people were killed and thousands left homeless in a Hindu-Muslim riot in a region of Bangladesh.")</f>
        <v>About 60 people were killed and thousands left homeless in a Hindu-Muslim riot in a region of Bangladesh.</v>
      </c>
      <c r="D352" s="7"/>
      <c r="E352" s="7"/>
      <c r="F352" s="7"/>
      <c r="G352" s="5"/>
      <c r="H352" s="5"/>
      <c r="I352" s="5"/>
      <c r="J352" s="5"/>
      <c r="K352" s="5"/>
      <c r="L352" s="5"/>
      <c r="M352" s="5"/>
      <c r="N352" s="5"/>
      <c r="O352" s="5"/>
      <c r="P352" s="5"/>
      <c r="Q352" s="5"/>
      <c r="R352" s="5"/>
      <c r="S352" s="5"/>
      <c r="T352" s="5"/>
      <c r="U352" s="5"/>
      <c r="V352" s="5"/>
      <c r="W352" s="5"/>
      <c r="X352" s="5"/>
      <c r="Y352" s="5"/>
      <c r="Z352" s="5"/>
    </row>
    <row r="353" spans="1:26" ht="15.6" x14ac:dyDescent="0.3">
      <c r="A353" s="18" t="s">
        <v>8</v>
      </c>
      <c r="B353" s="25" t="s">
        <v>358</v>
      </c>
      <c r="C353" s="2" t="str">
        <f ca="1">IFERROR(__xludf.DUMMYFUNCTION("GOOGLETRANSLATE(B353, ""bn"", ""en"")"),"The Bangladesh National Hindu Mahazot has demanded compensation for the Hindu families affected by the attack by the followers of Hefazat leader Mamunul Haque in Noagaon village of Habibpur Union of Shalla Upazila of Sunamganj.")</f>
        <v>The Bangladesh National Hindu Mahazot has demanded compensation for the Hindu families affected by the attack by the followers of Hefazat leader Mamunul Haque in Noagaon village of Habibpur Union of Shalla Upazila of Sunamganj.</v>
      </c>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6" x14ac:dyDescent="0.3">
      <c r="A354" s="19" t="s">
        <v>3</v>
      </c>
      <c r="B354" s="26" t="s">
        <v>359</v>
      </c>
      <c r="C354" s="2" t="str">
        <f ca="1">IFERROR(__xludf.DUMMYFUNCTION("GOOGLETRANSLATE(B354, ""bn"", ""en"")"),"There is no need for millions of hadiths; For Christians only the Ten Commandments of Jesus Christ are the hadith of the whole book.")</f>
        <v>There is no need for millions of hadiths; For Christians only the Ten Commandments of Jesus Christ are the hadith of the whole book.</v>
      </c>
      <c r="D354" s="7"/>
      <c r="E354" s="7"/>
      <c r="F354" s="7"/>
      <c r="G354" s="5"/>
      <c r="H354" s="5"/>
      <c r="I354" s="5"/>
      <c r="J354" s="5"/>
      <c r="K354" s="5"/>
      <c r="L354" s="5"/>
      <c r="M354" s="5"/>
      <c r="N354" s="5"/>
      <c r="O354" s="5"/>
      <c r="P354" s="5"/>
      <c r="Q354" s="5"/>
      <c r="R354" s="5"/>
      <c r="S354" s="5"/>
      <c r="T354" s="5"/>
      <c r="U354" s="5"/>
      <c r="V354" s="5"/>
      <c r="W354" s="5"/>
      <c r="X354" s="5"/>
      <c r="Y354" s="5"/>
      <c r="Z354" s="5"/>
    </row>
    <row r="355" spans="1:26" ht="15.6" x14ac:dyDescent="0.3">
      <c r="A355" s="18" t="s">
        <v>5</v>
      </c>
      <c r="B355" s="24" t="s">
        <v>360</v>
      </c>
      <c r="C355" s="2" t="str">
        <f ca="1">IFERROR(__xludf.DUMMYFUNCTION("GOOGLETRANSLATE(B355, ""bn"", ""en"")"),"A group attacked a minority treatment center, killing 26 people.")</f>
        <v>A group attacked a minority treatment center, killing 26 people.</v>
      </c>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6" x14ac:dyDescent="0.3">
      <c r="A356" s="18" t="s">
        <v>5</v>
      </c>
      <c r="B356" s="25" t="s">
        <v>361</v>
      </c>
      <c r="C356" s="2" t="str">
        <f ca="1">IFERROR(__xludf.DUMMYFUNCTION("GOOGLETRANSLATE(B356, ""bn"", ""en"")"),"Gunman opens fire at a Quebec mosque, kills 6")</f>
        <v>Gunman opens fire at a Quebec mosque, kills 6</v>
      </c>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6" x14ac:dyDescent="0.3">
      <c r="A357" s="18" t="s">
        <v>23</v>
      </c>
      <c r="B357" s="25" t="s">
        <v>362</v>
      </c>
      <c r="C357" s="2" t="str">
        <f ca="1">IFERROR(__xludf.DUMMYFUNCTION("GOOGLETRANSLATE(B357, ""bn"", ""en"")"),"Those who have committed this heinous killing of Muslims should be brought under the law and brought to justice as soon as possible")</f>
        <v>Those who have committed this heinous killing of Muslims should be brought under the law and brought to justice as soon as possible</v>
      </c>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6" x14ac:dyDescent="0.3">
      <c r="A358" s="18" t="s">
        <v>8</v>
      </c>
      <c r="B358" s="25" t="s">
        <v>363</v>
      </c>
      <c r="C358" s="2" t="str">
        <f ca="1">IFERROR(__xludf.DUMMYFUNCTION("GOOGLETRANSLATE(B358, ""bn"", ""en"")"),"Various religious places of worship have been vandalized in protest against insulting the Quran or insulting the Prophet Muhammad by hurting religious sentiments.")</f>
        <v>Various religious places of worship have been vandalized in protest against insulting the Quran or insulting the Prophet Muhammad by hurting religious sentiments.</v>
      </c>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6" x14ac:dyDescent="0.3">
      <c r="A359" s="18" t="s">
        <v>5</v>
      </c>
      <c r="B359" s="25" t="s">
        <v>364</v>
      </c>
      <c r="C359" s="2" t="str">
        <f ca="1">IFERROR(__xludf.DUMMYFUNCTION("GOOGLETRANSLATE(B359, ""bn"", ""en"")"),"Hundreds of people were killed in anti-religious riots, some committed suicide in terror and thousands of Muslim families were forced to take shelter in various refugee camps due to lack of security.")</f>
        <v>Hundreds of people were killed in anti-religious riots, some committed suicide in terror and thousands of Muslim families were forced to take shelter in various refugee camps due to lack of security.</v>
      </c>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6" x14ac:dyDescent="0.3">
      <c r="A360" s="19" t="s">
        <v>23</v>
      </c>
      <c r="B360" s="26" t="s">
        <v>365</v>
      </c>
      <c r="C360" s="2" t="str">
        <f ca="1">IFERROR(__xludf.DUMMYFUNCTION("GOOGLETRANSLATE(B360, ""bn"", ""en"")"),"Good deeds are trifled with and good deeds are neglected. Not giving importance to the problems of Muslims. Breaking the bonds of brotherhood. Not having a sense of responsibility in the work of religion. To be afraid of danger.")</f>
        <v>Good deeds are trifled with and good deeds are neglected. Not giving importance to the problems of Muslims. Breaking the bonds of brotherhood. Not having a sense of responsibility in the work of religion. To be afraid of danger.</v>
      </c>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6" x14ac:dyDescent="0.3">
      <c r="A361" s="18" t="s">
        <v>5</v>
      </c>
      <c r="B361" s="25" t="s">
        <v>366</v>
      </c>
      <c r="C361" s="2" t="str">
        <f ca="1">IFERROR(__xludf.DUMMYFUNCTION("GOOGLETRANSLATE(B361, ""bn"", ""en"")"),"After a three-day massacre of Hindus in Dhaka, Muslims started massacres in rural areas such as Bikrampur, Lauhjong. [19] On February 15, they looted and set fire to Hindu shops in Shimulia Bazar.")</f>
        <v>After a three-day massacre of Hindus in Dhaka, Muslims started massacres in rural areas such as Bikrampur, Lauhjong. [19] On February 15, they looted and set fire to Hindu shops in Shimulia Bazar.</v>
      </c>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6" x14ac:dyDescent="0.3">
      <c r="A362" s="18" t="s">
        <v>5</v>
      </c>
      <c r="B362" s="25" t="s">
        <v>367</v>
      </c>
      <c r="C362" s="2" t="str">
        <f ca="1">IFERROR(__xludf.DUMMYFUNCTION("GOOGLETRANSLATE(B362, ""bn"", ""en"")"),"The surviving Hindus left Noakhali and Tripura (present day Comilla) in two stages. As massacres, rapes and forced conversions began, Hindus initially fled Calcutta to survive.")</f>
        <v>The surviving Hindus left Noakhali and Tripura (present day Comilla) in two stages. As massacres, rapes and forced conversions began, Hindus initially fled Calcutta to survive.</v>
      </c>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6" x14ac:dyDescent="0.3">
      <c r="A363" s="18" t="s">
        <v>8</v>
      </c>
      <c r="B363" s="25" t="s">
        <v>368</v>
      </c>
      <c r="C363" s="2" t="str">
        <f ca="1">IFERROR(__xludf.DUMMYFUNCTION("GOOGLETRANSLATE(B363, ""bn"", ""en"")"),"The prime minister has given assistance to the families affected by the attack, vandalism and looting of the houses of minority Hindus in Shalla of Sunamganj.")</f>
        <v>The prime minister has given assistance to the families affected by the attack, vandalism and looting of the houses of minority Hindus in Shalla of Sunamganj.</v>
      </c>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6" x14ac:dyDescent="0.3">
      <c r="A364" s="19" t="s">
        <v>8</v>
      </c>
      <c r="B364" s="26" t="s">
        <v>369</v>
      </c>
      <c r="C364" s="2" t="str">
        <f ca="1">IFERROR(__xludf.DUMMYFUNCTION("GOOGLETRANSLATE(B364, ""bn"", ""en"")"),"I am very sorry to inform you that 4 consultants of my company Lifespring including myself have been subjected to the wrath of several miscreants for their personal religious beliefs.")</f>
        <v>I am very sorry to inform you that 4 consultants of my company Lifespring including myself have been subjected to the wrath of several miscreants for their personal religious beliefs.</v>
      </c>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6" x14ac:dyDescent="0.3">
      <c r="A365" s="18" t="s">
        <v>5</v>
      </c>
      <c r="B365" s="24" t="s">
        <v>370</v>
      </c>
      <c r="C365" s="2" t="str">
        <f ca="1">IFERROR(__xludf.DUMMYFUNCTION("GOOGLETRANSLATE(B365, ""bn"", ""en"")"),"In June 2018, a group of minorities had their homes set on fire for failing to pay taxes; 24 people were killed.")</f>
        <v>In June 2018, a group of minorities had their homes set on fire for failing to pay taxes; 24 people were killed.</v>
      </c>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6" x14ac:dyDescent="0.3">
      <c r="A366" s="18" t="s">
        <v>8</v>
      </c>
      <c r="B366" s="25" t="s">
        <v>371</v>
      </c>
      <c r="C366" s="2" t="str">
        <f ca="1">IFERROR(__xludf.DUMMYFUNCTION("GOOGLETRANSLATE(B366, ""bn"", ""en"")"),"After Kushtia, the second incident of violence occurred in Joypurhat. Bangladesh Hindu Oikya Parishad questioned the strength of Bangladesh's law and order system while registering a second incident in the same week.")</f>
        <v>After Kushtia, the second incident of violence occurred in Joypurhat. Bangladesh Hindu Oikya Parishad questioned the strength of Bangladesh's law and order system while registering a second incident in the same week.</v>
      </c>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6" x14ac:dyDescent="0.3">
      <c r="A367" s="18" t="s">
        <v>23</v>
      </c>
      <c r="B367" s="25" t="s">
        <v>372</v>
      </c>
      <c r="C367" s="2" t="str">
        <f ca="1">IFERROR(__xludf.DUMMYFUNCTION("GOOGLETRANSLATE(B367, ""bn"", ""en"")"),"What is the need for more exaggeration about the atheist girl, where her family gave her the opportunity to become an atheist, she should not even be taught the funeral.")</f>
        <v>What is the need for more exaggeration about the atheist girl, where her family gave her the opportunity to become an atheist, she should not even be taught the funeral.</v>
      </c>
      <c r="D367" s="2"/>
      <c r="E367" s="2"/>
      <c r="F367" s="2"/>
      <c r="G367" s="2"/>
      <c r="H367" s="3"/>
      <c r="I367" s="3"/>
      <c r="J367" s="3"/>
      <c r="K367" s="3"/>
      <c r="L367" s="3"/>
      <c r="M367" s="3"/>
      <c r="N367" s="3"/>
      <c r="O367" s="3"/>
      <c r="P367" s="3"/>
      <c r="Q367" s="3"/>
      <c r="R367" s="3"/>
      <c r="S367" s="3"/>
      <c r="T367" s="3"/>
      <c r="U367" s="3"/>
      <c r="V367" s="3"/>
      <c r="W367" s="3"/>
      <c r="X367" s="3"/>
      <c r="Y367" s="3"/>
      <c r="Z367" s="3"/>
    </row>
    <row r="368" spans="1:26" ht="15.6" x14ac:dyDescent="0.3">
      <c r="A368" s="18" t="s">
        <v>3</v>
      </c>
      <c r="B368" s="24" t="s">
        <v>373</v>
      </c>
      <c r="C368" s="2" t="str">
        <f ca="1">IFERROR(__xludf.DUMMYFUNCTION("GOOGLETRANSLATE(B368, ""bn"", ""en"")"),"According to the religious practice, praying for some time every day improves the state of mind.")</f>
        <v>According to the religious practice, praying for some time every day improves the state of mind.</v>
      </c>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6" x14ac:dyDescent="0.3">
      <c r="A369" s="19" t="s">
        <v>23</v>
      </c>
      <c r="B369" s="26" t="s">
        <v>374</v>
      </c>
      <c r="C369" s="2" t="str">
        <f ca="1">IFERROR(__xludf.DUMMYFUNCTION("GOOGLETRANSLATE(B369, ""bn"", ""en"")"),"When contacted about the accusations of blasphemy over the teaser of the movie, producer Salim Khan told BBC Bangla that whenever he saw controversy about it, he removed the teaser. He ordered.")</f>
        <v>When contacted about the accusations of blasphemy over the teaser of the movie, producer Salim Khan told BBC Bangla that whenever he saw controversy about it, he removed the teaser. He ordered.</v>
      </c>
      <c r="D369" s="7"/>
      <c r="E369" s="7"/>
      <c r="F369" s="5"/>
      <c r="G369" s="5"/>
      <c r="H369" s="5"/>
      <c r="I369" s="5"/>
      <c r="J369" s="5"/>
      <c r="K369" s="5"/>
      <c r="L369" s="5"/>
      <c r="M369" s="5"/>
      <c r="N369" s="5"/>
      <c r="O369" s="5"/>
      <c r="P369" s="5"/>
      <c r="Q369" s="5"/>
      <c r="R369" s="5"/>
      <c r="S369" s="5"/>
      <c r="T369" s="5"/>
      <c r="U369" s="5"/>
      <c r="V369" s="5"/>
      <c r="W369" s="5"/>
      <c r="X369" s="5"/>
      <c r="Y369" s="5"/>
      <c r="Z369" s="5"/>
    </row>
    <row r="370" spans="1:26" ht="15.6" x14ac:dyDescent="0.3">
      <c r="A370" s="19" t="s">
        <v>3</v>
      </c>
      <c r="B370" s="26" t="s">
        <v>375</v>
      </c>
      <c r="C370" s="2" t="str">
        <f ca="1">IFERROR(__xludf.DUMMYFUNCTION("GOOGLETRANSLATE(B370, ""bn"", ""en"")"),"I can't explain this video, it broke my heart, by Allah, nothing can be more beautiful than this.")</f>
        <v>I can't explain this video, it broke my heart, by Allah, nothing can be more beautiful than this.</v>
      </c>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6" x14ac:dyDescent="0.3">
      <c r="A371" s="18" t="s">
        <v>23</v>
      </c>
      <c r="B371" s="25" t="s">
        <v>376</v>
      </c>
      <c r="C371" s="2" t="str">
        <f ca="1">IFERROR(__xludf.DUMMYFUNCTION("GOOGLETRANSLATE(B371, ""bn"", ""en"")"),"They have insulted Islam and should be condemned. Those who do not condemn are enemies of Islam.")</f>
        <v>They have insulted Islam and should be condemned. Those who do not condemn are enemies of Islam.</v>
      </c>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6" x14ac:dyDescent="0.3">
      <c r="A372" s="18" t="s">
        <v>5</v>
      </c>
      <c r="B372" s="25" t="s">
        <v>377</v>
      </c>
      <c r="C372" s="2" t="str">
        <f ca="1">IFERROR(__xludf.DUMMYFUNCTION("GOOGLETRANSLATE(B372, ""bn"", ""en"")"),"Many people fled Kolkata during the horrific recent massacres. For several days, innumerable waves of people continued to cross the Howrah Bridge towards the station. Many of them could not escape the violence that spread to areas outside Kolkata.")</f>
        <v>Many people fled Kolkata during the horrific recent massacres. For several days, innumerable waves of people continued to cross the Howrah Bridge towards the station. Many of them could not escape the violence that spread to areas outside Kolkata.</v>
      </c>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6" x14ac:dyDescent="0.3">
      <c r="A373" s="19" t="s">
        <v>23</v>
      </c>
      <c r="B373" s="26" t="s">
        <v>378</v>
      </c>
      <c r="C373" s="2" t="str">
        <f ca="1">IFERROR(__xludf.DUMMYFUNCTION("GOOGLETRANSLATE(B373, ""bn"", ""en"")"),"He is a victim of extreme communalism, and is also criticized for Hinduism and the Durga idol.")</f>
        <v>He is a victim of extreme communalism, and is also criticized for Hinduism and the Durga idol.</v>
      </c>
      <c r="D373" s="7"/>
      <c r="E373" s="5"/>
      <c r="F373" s="5"/>
      <c r="G373" s="5"/>
      <c r="H373" s="5"/>
      <c r="I373" s="5"/>
      <c r="J373" s="5"/>
      <c r="K373" s="5"/>
      <c r="L373" s="5"/>
      <c r="M373" s="5"/>
      <c r="N373" s="5"/>
      <c r="O373" s="5"/>
      <c r="P373" s="5"/>
      <c r="Q373" s="5"/>
      <c r="R373" s="5"/>
      <c r="S373" s="5"/>
      <c r="T373" s="5"/>
      <c r="U373" s="5"/>
      <c r="V373" s="5"/>
      <c r="W373" s="5"/>
      <c r="X373" s="5"/>
      <c r="Y373" s="5"/>
      <c r="Z373" s="5"/>
    </row>
    <row r="374" spans="1:26" ht="15.6" x14ac:dyDescent="0.3">
      <c r="A374" s="18" t="s">
        <v>5</v>
      </c>
      <c r="B374" s="24" t="s">
        <v>379</v>
      </c>
      <c r="C374" s="2" t="str">
        <f ca="1">IFERROR(__xludf.DUMMYFUNCTION("GOOGLETRANSLATE(B374, ""bn"", ""en"")"),"He was beaten to death for entering a religious ceremony by a person of a different religion; Another 17 people were killed in the incident.")</f>
        <v>He was beaten to death for entering a religious ceremony by a person of a different religion; Another 17 people were killed in the incident.</v>
      </c>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6" x14ac:dyDescent="0.3">
      <c r="A375" s="18" t="s">
        <v>3</v>
      </c>
      <c r="B375" s="25" t="s">
        <v>380</v>
      </c>
      <c r="C375" s="2" t="str">
        <f ca="1">IFERROR(__xludf.DUMMYFUNCTION("GOOGLETRANSLATE(B375, ""bn"", ""en"")"),"It is becoming important to calmly observe whether religious values ​​and beliefs are influencing people in the West Bengal Lok Sabha elections.")</f>
        <v>It is becoming important to calmly observe whether religious values ​​and beliefs are influencing people in the West Bengal Lok Sabha elections.</v>
      </c>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6" x14ac:dyDescent="0.3">
      <c r="A376" s="19" t="s">
        <v>3</v>
      </c>
      <c r="B376" s="26" t="s">
        <v>381</v>
      </c>
      <c r="C376" s="2" t="str">
        <f ca="1">IFERROR(__xludf.DUMMYFUNCTION("GOOGLETRANSLATE(B376, ""bn"", ""en"")"),"The Quran says that animals and birds are also God's creation and should be kind to them.")</f>
        <v>The Quran says that animals and birds are also God's creation and should be kind to them.</v>
      </c>
      <c r="D376" s="7"/>
      <c r="E376" s="5"/>
      <c r="F376" s="5"/>
      <c r="G376" s="5"/>
      <c r="H376" s="5"/>
      <c r="I376" s="5"/>
      <c r="J376" s="5"/>
      <c r="K376" s="5"/>
      <c r="L376" s="5"/>
      <c r="M376" s="5"/>
      <c r="N376" s="5"/>
      <c r="O376" s="5"/>
      <c r="P376" s="5"/>
      <c r="Q376" s="5"/>
      <c r="R376" s="5"/>
      <c r="S376" s="5"/>
      <c r="T376" s="5"/>
      <c r="U376" s="5"/>
      <c r="V376" s="5"/>
      <c r="W376" s="5"/>
      <c r="X376" s="5"/>
      <c r="Y376" s="5"/>
      <c r="Z376" s="5"/>
    </row>
    <row r="377" spans="1:26" ht="15.6" x14ac:dyDescent="0.3">
      <c r="A377" s="18" t="s">
        <v>23</v>
      </c>
      <c r="B377" s="25" t="s">
        <v>382</v>
      </c>
      <c r="C377" s="2" t="str">
        <f ca="1">IFERROR(__xludf.DUMMYFUNCTION("GOOGLETRANSLATE(B377, ""bn"", ""en"")"),"A photo-video of an alleged desecration of the Quran at a temple in Comilla on Wednesday morning went viral on Facebook. Earlier, the role of social media including Facebook was also criticized in inciting communal terror in various parts of the country i"&amp;"ncluding Ramu in Cox's Bazar.")</f>
        <v>A photo-video of an alleged desecration of the Quran at a temple in Comilla on Wednesday morning went viral on Facebook. Earlier, the role of social media including Facebook was also criticized in inciting communal terror in various parts of the country including Ramu in Cox's Bazar.</v>
      </c>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6" x14ac:dyDescent="0.3">
      <c r="A378" s="18" t="s">
        <v>23</v>
      </c>
      <c r="B378" s="24" t="s">
        <v>383</v>
      </c>
      <c r="C378" s="2" t="str">
        <f ca="1">IFERROR(__xludf.DUMMYFUNCTION("GOOGLETRANSLATE(B378, ""bn"", ""en"")"),"The more mosques they build, the more backward the society will be, they cannot be tolerated anymore.")</f>
        <v>The more mosques they build, the more backward the society will be, they cannot be tolerated anymore.</v>
      </c>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6" x14ac:dyDescent="0.3">
      <c r="A379" s="18" t="s">
        <v>8</v>
      </c>
      <c r="B379" s="24" t="s">
        <v>384</v>
      </c>
      <c r="C379" s="2" t="str">
        <f ca="1">IFERROR(__xludf.DUMMYFUNCTION("GOOGLETRANSLATE(B379, ""bn"", ""en"")"),"Muslim extremists are spreading religious extremism and causing religious clashes in different parts of the country, destabilizing the society.")</f>
        <v>Muslim extremists are spreading religious extremism and causing religious clashes in different parts of the country, destabilizing the society.</v>
      </c>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6" x14ac:dyDescent="0.3">
      <c r="A380" s="18" t="s">
        <v>8</v>
      </c>
      <c r="B380" s="25" t="s">
        <v>385</v>
      </c>
      <c r="C380" s="2" t="str">
        <f ca="1">IFERROR(__xludf.DUMMYFUNCTION("GOOGLETRANSLATE(B380, ""bn"", ""en"")"),"From 2010 to 2017, 84% of victims of violence were Muslims, and after May 2014, about 99% of attacks were reported to be Muslims.")</f>
        <v>From 2010 to 2017, 84% of victims of violence were Muslims, and after May 2014, about 99% of attacks were reported to be Muslims.</v>
      </c>
      <c r="D380" s="2"/>
      <c r="E380" s="2"/>
      <c r="F380" s="2"/>
      <c r="G380" s="2"/>
      <c r="H380" s="3"/>
      <c r="I380" s="3"/>
      <c r="J380" s="3"/>
      <c r="K380" s="3"/>
      <c r="L380" s="3"/>
      <c r="M380" s="3"/>
      <c r="N380" s="3"/>
      <c r="O380" s="3"/>
      <c r="P380" s="3"/>
      <c r="Q380" s="3"/>
      <c r="R380" s="3"/>
      <c r="S380" s="3"/>
      <c r="T380" s="3"/>
      <c r="U380" s="3"/>
      <c r="V380" s="3"/>
      <c r="W380" s="3"/>
      <c r="X380" s="3"/>
      <c r="Y380" s="3"/>
      <c r="Z380" s="3"/>
    </row>
    <row r="381" spans="1:26" ht="15.6" x14ac:dyDescent="0.3">
      <c r="A381" s="18" t="s">
        <v>5</v>
      </c>
      <c r="B381" s="24" t="s">
        <v>386</v>
      </c>
      <c r="C381" s="2" t="str">
        <f ca="1">IFERROR(__xludf.DUMMYFUNCTION("GOOGLETRANSLATE(B381, ""bn"", ""en"")"),"At least 45 people were killed in a suicide bombing at a mosque in July 2018. The incident is said to have happened due to communalism.")</f>
        <v>At least 45 people were killed in a suicide bombing at a mosque in July 2018. The incident is said to have happened due to communalism.</v>
      </c>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6" x14ac:dyDescent="0.3">
      <c r="A382" s="18" t="s">
        <v>5</v>
      </c>
      <c r="B382" s="24" t="s">
        <v>387</v>
      </c>
      <c r="C382" s="2" t="str">
        <f ca="1">IFERROR(__xludf.DUMMYFUNCTION("GOOGLETRANSLATE(B382, ""bn"", ""en"")"),"In October 2019, a group set fire to a religious temple, killing 30 people and leaving hundreds homeless.")</f>
        <v>In October 2019, a group set fire to a religious temple, killing 30 people and leaving hundreds homeless.</v>
      </c>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6" x14ac:dyDescent="0.3">
      <c r="A383" s="19" t="s">
        <v>23</v>
      </c>
      <c r="B383" s="26" t="s">
        <v>388</v>
      </c>
      <c r="C383" s="2" t="str">
        <f ca="1">IFERROR(__xludf.DUMMYFUNCTION("GOOGLETRANSLATE(B383, ""bn"", ""en"")"),"Sylhet district MLA Suresh Chandra Biswas was arrested on March 11 after condemning the massacre and the looting and burning of Hindu homes in a public meeting.")</f>
        <v>Sylhet district MLA Suresh Chandra Biswas was arrested on March 11 after condemning the massacre and the looting and burning of Hindu homes in a public meeting.</v>
      </c>
      <c r="D383" s="7"/>
      <c r="E383" s="7"/>
      <c r="F383" s="7"/>
      <c r="G383" s="7"/>
      <c r="H383" s="7"/>
      <c r="I383" s="7"/>
      <c r="J383" s="7"/>
      <c r="K383" s="5"/>
      <c r="L383" s="5"/>
      <c r="M383" s="5"/>
      <c r="N383" s="5"/>
      <c r="O383" s="5"/>
      <c r="P383" s="5"/>
      <c r="Q383" s="5"/>
      <c r="R383" s="5"/>
      <c r="S383" s="5"/>
      <c r="T383" s="5"/>
      <c r="U383" s="5"/>
      <c r="V383" s="5"/>
      <c r="W383" s="5"/>
      <c r="X383" s="5"/>
      <c r="Y383" s="5"/>
      <c r="Z383" s="5"/>
    </row>
    <row r="384" spans="1:26" ht="15.6" x14ac:dyDescent="0.3">
      <c r="A384" s="18" t="s">
        <v>3</v>
      </c>
      <c r="B384" s="25" t="s">
        <v>389</v>
      </c>
      <c r="C384" s="2" t="str">
        <f ca="1">IFERROR(__xludf.DUMMYFUNCTION("GOOGLETRANSLATE(B384, ""bn"", ""en"")"),"Taking inspiration from the events of Surah Maryam, we are afraid to ask for much, even though Allah knows everything.")</f>
        <v>Taking inspiration from the events of Surah Maryam, we are afraid to ask for much, even though Allah knows everything.</v>
      </c>
      <c r="D384" s="2"/>
      <c r="E384" s="2"/>
      <c r="F384" s="2"/>
      <c r="G384" s="2"/>
      <c r="H384" s="3"/>
      <c r="I384" s="3"/>
      <c r="J384" s="3"/>
      <c r="K384" s="3"/>
      <c r="L384" s="3"/>
      <c r="M384" s="3"/>
      <c r="N384" s="3"/>
      <c r="O384" s="3"/>
      <c r="P384" s="3"/>
      <c r="Q384" s="3"/>
      <c r="R384" s="3"/>
      <c r="S384" s="3"/>
      <c r="T384" s="3"/>
      <c r="U384" s="3"/>
      <c r="V384" s="3"/>
      <c r="W384" s="3"/>
      <c r="X384" s="3"/>
      <c r="Y384" s="3"/>
      <c r="Z384" s="3"/>
    </row>
    <row r="385" spans="1:26" ht="15.6" x14ac:dyDescent="0.3">
      <c r="A385" s="18" t="s">
        <v>5</v>
      </c>
      <c r="B385" s="24" t="s">
        <v>390</v>
      </c>
      <c r="C385" s="2" t="str">
        <f ca="1">IFERROR(__xludf.DUMMYFUNCTION("GOOGLETRANSLATE(B385, ""bn"", ""en"")"),"42 people lost their lives in religious riots in Kishoreganj. Police fail to quell violence, calls for government to maintain peace and accountability. Many families leave the village for security reasons.")</f>
        <v>42 people lost their lives in religious riots in Kishoreganj. Police fail to quell violence, calls for government to maintain peace and accountability. Many families leave the village for security reasons.</v>
      </c>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6" x14ac:dyDescent="0.3">
      <c r="A386" s="19" t="s">
        <v>8</v>
      </c>
      <c r="B386" s="26" t="s">
        <v>391</v>
      </c>
      <c r="C386" s="2" t="str">
        <f ca="1">IFERROR(__xludf.DUMMYFUNCTION("GOOGLETRANSLATE(B386, ""bn"", ""en"")"),"By introducing communalism into the fraternity, it is dividing us by raising the wall called majority-minority. Capitalizing on this communalism, people are rioting. Attempts are being made to inject the poison of communalism into the brains of small chil"&amp;"dren. The bond of brotherhood is repeatedly attacked to incite communalism.")</f>
        <v>By introducing communalism into the fraternity, it is dividing us by raising the wall called majority-minority. Capitalizing on this communalism, people are rioting. Attempts are being made to inject the poison of communalism into the brains of small children. The bond of brotherhood is repeatedly attacked to incite communalism.</v>
      </c>
      <c r="D386" s="7"/>
      <c r="E386" s="7"/>
      <c r="F386" s="7"/>
      <c r="G386" s="7"/>
      <c r="H386" s="7"/>
      <c r="I386" s="7"/>
      <c r="J386" s="7"/>
      <c r="K386" s="7"/>
      <c r="L386" s="7"/>
      <c r="M386" s="5"/>
      <c r="N386" s="5"/>
      <c r="O386" s="5"/>
      <c r="P386" s="5"/>
      <c r="Q386" s="5"/>
      <c r="R386" s="5"/>
      <c r="S386" s="5"/>
      <c r="T386" s="5"/>
      <c r="U386" s="5"/>
      <c r="V386" s="5"/>
      <c r="W386" s="5"/>
      <c r="X386" s="5"/>
      <c r="Y386" s="5"/>
      <c r="Z386" s="5"/>
    </row>
    <row r="387" spans="1:26" ht="15.6" x14ac:dyDescent="0.3">
      <c r="A387" s="18" t="s">
        <v>5</v>
      </c>
      <c r="B387" s="24" t="s">
        <v>392</v>
      </c>
      <c r="C387" s="2" t="str">
        <f ca="1">IFERROR(__xludf.DUMMYFUNCTION("GOOGLETRANSLATE(B387, ""bn"", ""en"")"),"36 killed in attack by religious extremists in Kushtia; Many properties were destroyed.")</f>
        <v>36 killed in attack by religious extremists in Kushtia; Many properties were destroyed.</v>
      </c>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6" x14ac:dyDescent="0.3">
      <c r="A388" s="18" t="s">
        <v>5</v>
      </c>
      <c r="B388" s="24" t="s">
        <v>393</v>
      </c>
      <c r="C388" s="2" t="str">
        <f ca="1">IFERROR(__xludf.DUMMYFUNCTION("GOOGLETRANSLATE(B388, ""bn"", ""en"")"),"31 people, including a child, were killed in an extremist attack by a religious group in Khulna; There is extensive damage.")</f>
        <v>31 people, including a child, were killed in an extremist attack by a religious group in Khulna; There is extensive damage.</v>
      </c>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6" x14ac:dyDescent="0.3">
      <c r="A389" s="18" t="s">
        <v>5</v>
      </c>
      <c r="B389" s="24" t="s">
        <v>394</v>
      </c>
      <c r="C389" s="2" t="str">
        <f ca="1">IFERROR(__xludf.DUMMYFUNCTION("GOOGLETRANSLATE(B389, ""bn"", ""en"")"),"41 people were killed in religious riots in Feni. As the police failed to quell the violence, the government ordered everyone to remain calm and religiously responsible. Many families leave the village for security reasons.")</f>
        <v>41 people were killed in religious riots in Feni. As the police failed to quell the violence, the government ordered everyone to remain calm and religiously responsible. Many families leave the village for security reasons.</v>
      </c>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6" x14ac:dyDescent="0.3">
      <c r="A390" s="19" t="s">
        <v>5</v>
      </c>
      <c r="B390" s="26" t="s">
        <v>395</v>
      </c>
      <c r="C390" s="2" t="str">
        <f ca="1">IFERROR(__xludf.DUMMYFUNCTION("GOOGLETRANSLATE(B390, ""bn"", ""en"")"),"A mob of Muslims set fire to the Galshahid police post and killed two policemen and looted weapons. Then the police also took a violent approach.")</f>
        <v>A mob of Muslims set fire to the Galshahid police post and killed two policemen and looted weapons. Then the police also took a violent approach.</v>
      </c>
      <c r="D390" s="2"/>
      <c r="E390" s="2"/>
      <c r="F390" s="2"/>
      <c r="G390" s="2"/>
      <c r="H390" s="3"/>
      <c r="I390" s="3"/>
      <c r="J390" s="3"/>
      <c r="K390" s="3"/>
      <c r="L390" s="3"/>
      <c r="M390" s="3"/>
      <c r="N390" s="3"/>
      <c r="O390" s="3"/>
      <c r="P390" s="3"/>
      <c r="Q390" s="3"/>
      <c r="R390" s="3"/>
      <c r="S390" s="3"/>
      <c r="T390" s="3"/>
      <c r="U390" s="3"/>
      <c r="V390" s="3"/>
      <c r="W390" s="3"/>
      <c r="X390" s="3"/>
      <c r="Y390" s="3"/>
      <c r="Z390" s="3"/>
    </row>
    <row r="391" spans="1:26" ht="15.6" x14ac:dyDescent="0.3">
      <c r="A391" s="18" t="s">
        <v>3</v>
      </c>
      <c r="B391" s="25" t="s">
        <v>396</v>
      </c>
      <c r="C391" s="2" t="str">
        <f ca="1">IFERROR(__xludf.DUMMYFUNCTION("GOOGLETRANSLATE(B391, ""bn"", ""en"")"),"The government operates training academies for imams and monitors the content of religious education in Islamic religious schools or madrasas and announces its intention to change the curriculum, including modernizing and mainstreaming the content of reli"&amp;"gious education.[")</f>
        <v>The government operates training academies for imams and monitors the content of religious education in Islamic religious schools or madrasas and announces its intention to change the curriculum, including modernizing and mainstreaming the content of religious education.[</v>
      </c>
      <c r="D391" s="7"/>
      <c r="E391" s="7"/>
      <c r="F391" s="7"/>
      <c r="G391" s="7"/>
      <c r="H391" s="7"/>
      <c r="I391" s="7"/>
      <c r="J391" s="7"/>
      <c r="K391" s="7"/>
      <c r="L391" s="7"/>
      <c r="M391" s="7"/>
      <c r="N391" s="7"/>
      <c r="O391" s="7"/>
      <c r="P391" s="7"/>
      <c r="Q391" s="7"/>
      <c r="R391" s="7"/>
      <c r="S391" s="7"/>
      <c r="T391" s="7"/>
      <c r="U391" s="7"/>
      <c r="V391" s="5"/>
      <c r="W391" s="5"/>
      <c r="X391" s="5"/>
      <c r="Y391" s="5"/>
      <c r="Z391" s="5"/>
    </row>
    <row r="392" spans="1:26" ht="15.6" x14ac:dyDescent="0.3">
      <c r="A392" s="19" t="s">
        <v>8</v>
      </c>
      <c r="B392" s="26" t="s">
        <v>397</v>
      </c>
      <c r="C392" s="2" t="str">
        <f ca="1">IFERROR(__xludf.DUMMYFUNCTION("GOOGLETRANSLATE(B392, ""bn"", ""en"")"),"On January 2, 2012, a Hindu temple in the city was set on fire. [63]")</f>
        <v>On January 2, 2012, a Hindu temple in the city was set on fire. [63]</v>
      </c>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6" x14ac:dyDescent="0.3">
      <c r="A393" s="19" t="s">
        <v>5</v>
      </c>
      <c r="B393" s="26" t="s">
        <v>398</v>
      </c>
      <c r="C393" s="2" t="str">
        <f ca="1">IFERROR(__xludf.DUMMYFUNCTION("GOOGLETRANSLATE(B393, ""bn"", ""en"")"),"Many were killed in a massive crackdown on anti-government Muslims in Bangladesh.")</f>
        <v>Many were killed in a massive crackdown on anti-government Muslims in Bangladesh.</v>
      </c>
      <c r="D393" s="7"/>
      <c r="E393" s="5"/>
      <c r="F393" s="5"/>
      <c r="G393" s="5"/>
      <c r="H393" s="5"/>
      <c r="I393" s="5"/>
      <c r="J393" s="5"/>
      <c r="K393" s="5"/>
      <c r="L393" s="5"/>
      <c r="M393" s="5"/>
      <c r="N393" s="5"/>
      <c r="O393" s="5"/>
      <c r="P393" s="5"/>
      <c r="Q393" s="5"/>
      <c r="R393" s="5"/>
      <c r="S393" s="5"/>
      <c r="T393" s="5"/>
      <c r="U393" s="5"/>
      <c r="V393" s="5"/>
      <c r="W393" s="5"/>
      <c r="X393" s="5"/>
      <c r="Y393" s="5"/>
      <c r="Z393" s="5"/>
    </row>
    <row r="394" spans="1:26" ht="15.6" x14ac:dyDescent="0.3">
      <c r="A394" s="19" t="s">
        <v>23</v>
      </c>
      <c r="B394" s="26" t="s">
        <v>399</v>
      </c>
      <c r="C394" s="2" t="str">
        <f ca="1">IFERROR(__xludf.DUMMYFUNCTION("GOOGLETRANSLATE(B394, ""bn"", ""en"")"),"Asking to drop religion is proof of stupidity, even if Islam is not pulled, the mind and mentality should be changed.")</f>
        <v>Asking to drop religion is proof of stupidity, even if Islam is not pulled, the mind and mentality should be changed.</v>
      </c>
      <c r="D394" s="7"/>
      <c r="E394" s="7"/>
      <c r="F394" s="5"/>
      <c r="G394" s="5"/>
      <c r="H394" s="5"/>
      <c r="I394" s="5"/>
      <c r="J394" s="5"/>
      <c r="K394" s="5"/>
      <c r="L394" s="5"/>
      <c r="M394" s="5"/>
      <c r="N394" s="5"/>
      <c r="O394" s="5"/>
      <c r="P394" s="5"/>
      <c r="Q394" s="5"/>
      <c r="R394" s="5"/>
      <c r="S394" s="5"/>
      <c r="T394" s="5"/>
      <c r="U394" s="5"/>
      <c r="V394" s="5"/>
      <c r="W394" s="5"/>
      <c r="X394" s="5"/>
      <c r="Y394" s="5"/>
      <c r="Z394" s="5"/>
    </row>
    <row r="395" spans="1:26" ht="15.6" x14ac:dyDescent="0.3">
      <c r="A395" s="19" t="s">
        <v>5</v>
      </c>
      <c r="B395" s="26" t="s">
        <v>400</v>
      </c>
      <c r="C395" s="2" t="str">
        <f ca="1">IFERROR(__xludf.DUMMYFUNCTION("GOOGLETRANSLATE(B395, ""bn"", ""en"")"),"In June 1975, some Cham Muslims were killed by government troops for attending prayers instead of attending CPK meetings. Later, from mid-1975, minorities were forced to show allegiance only to Khmer nationality and religion, with other identities prohibi"&amp;"ted.")</f>
        <v>In June 1975, some Cham Muslims were killed by government troops for attending prayers instead of attending CPK meetings. Later, from mid-1975, minorities were forced to show allegiance only to Khmer nationality and religion, with other identities prohibited.</v>
      </c>
      <c r="D395" s="2"/>
      <c r="E395" s="2"/>
      <c r="F395" s="2"/>
      <c r="G395" s="2"/>
      <c r="H395" s="3"/>
      <c r="I395" s="3"/>
      <c r="J395" s="3"/>
      <c r="K395" s="3"/>
      <c r="L395" s="3"/>
      <c r="M395" s="3"/>
      <c r="N395" s="3"/>
      <c r="O395" s="3"/>
      <c r="P395" s="3"/>
      <c r="Q395" s="3"/>
      <c r="R395" s="3"/>
      <c r="S395" s="3"/>
      <c r="T395" s="3"/>
      <c r="U395" s="3"/>
      <c r="V395" s="3"/>
      <c r="W395" s="3"/>
      <c r="X395" s="3"/>
      <c r="Y395" s="3"/>
      <c r="Z395" s="3"/>
    </row>
    <row r="396" spans="1:26" ht="15.6" x14ac:dyDescent="0.3">
      <c r="A396" s="18" t="s">
        <v>23</v>
      </c>
      <c r="B396" s="24" t="s">
        <v>401</v>
      </c>
      <c r="C396" s="2" t="str">
        <f ca="1">IFERROR(__xludf.DUMMYFUNCTION("GOOGLETRANSLATE(B396, ""bn"", ""en"")"),"Some people in the Christian community create division in the society in the name of conversion.")</f>
        <v>Some people in the Christian community create division in the society in the name of conversion.</v>
      </c>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6" x14ac:dyDescent="0.3">
      <c r="A397" s="18" t="s">
        <v>5</v>
      </c>
      <c r="B397" s="24" t="s">
        <v>402</v>
      </c>
      <c r="C397" s="2" t="str">
        <f ca="1">IFERROR(__xludf.DUMMYFUNCTION("GOOGLETRANSLATE(B397, ""bn"", ""en"")"),"In September 2016, a bomb blast at a Christian church killed 40 people; The church was completely destroyed.")</f>
        <v>In September 2016, a bomb blast at a Christian church killed 40 people; The church was completely destroyed.</v>
      </c>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6" x14ac:dyDescent="0.3">
      <c r="A398" s="18" t="s">
        <v>3</v>
      </c>
      <c r="B398" s="25" t="s">
        <v>403</v>
      </c>
      <c r="C398" s="2" t="str">
        <f ca="1">IFERROR(__xludf.DUMMYFUNCTION("GOOGLETRANSLATE(B398, ""bn"", ""en"")"),"I don't remember ever seeing us arguing with our Hindu brothers about Puja vs Eid Ramzan. Etlist has never seen anything like this happen in Bangladesh.")</f>
        <v>I don't remember ever seeing us arguing with our Hindu brothers about Puja vs Eid Ramzan. Etlist has never seen anything like this happen in Bangladesh.</v>
      </c>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6" x14ac:dyDescent="0.3">
      <c r="A399" s="19" t="s">
        <v>23</v>
      </c>
      <c r="B399" s="26" t="s">
        <v>404</v>
      </c>
      <c r="C399" s="2" t="str">
        <f ca="1">IFERROR(__xludf.DUMMYFUNCTION("GOOGLETRANSLATE(B399, ""bn"", ""en"")"),"Muslim League politicians, fearing Hindu dominance in the central government, asked Jinnah to withdraw from ""his previous inflexible position"".")</f>
        <v>Muslim League politicians, fearing Hindu dominance in the central government, asked Jinnah to withdraw from "his previous inflexible position".</v>
      </c>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6" x14ac:dyDescent="0.3">
      <c r="A400" s="19" t="s">
        <v>23</v>
      </c>
      <c r="B400" s="26" t="s">
        <v>405</v>
      </c>
      <c r="C400" s="2" t="str">
        <f ca="1">IFERROR(__xludf.DUMMYFUNCTION("GOOGLETRANSLATE(B400, ""bn"", ""en"")"),"Poetry-concert can be held in the basement, but why will your heart burn if you recite the Quran again in the same basement?")</f>
        <v>Poetry-concert can be held in the basement, but why will your heart burn if you recite the Quran again in the same basement?</v>
      </c>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6" x14ac:dyDescent="0.3">
      <c r="A401" s="18" t="s">
        <v>23</v>
      </c>
      <c r="B401" s="25" t="s">
        <v>406</v>
      </c>
      <c r="C401" s="2" t="str">
        <f ca="1">IFERROR(__xludf.DUMMYFUNCTION("GOOGLETRANSLATE(B401, ""bn"", ""en"")"),"Tell the Taliban to correct themselves first, the Taliban are to blame and the Hindus are to blame, this law does not work in Bangladesh, and if Hindus are religiously attacked, what will be the judgement, should they continue as crazy or not?")</f>
        <v>Tell the Taliban to correct themselves first, the Taliban are to blame and the Hindus are to blame, this law does not work in Bangladesh, and if Hindus are religiously attacked, what will be the judgement, should they continue as crazy or not?</v>
      </c>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6" x14ac:dyDescent="0.3">
      <c r="A402" s="18" t="s">
        <v>3</v>
      </c>
      <c r="B402" s="25" t="s">
        <v>407</v>
      </c>
      <c r="C402" s="2" t="str">
        <f ca="1">IFERROR(__xludf.DUMMYFUNCTION("GOOGLETRANSLATE(B402, ""bn"", ""en"")"),"Whatever the religion, the purpose of practicing religion is to gain the pleasure of the Creator.")</f>
        <v>Whatever the religion, the purpose of practicing religion is to gain the pleasure of the Creator.</v>
      </c>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6" x14ac:dyDescent="0.3">
      <c r="A403" s="18" t="s">
        <v>23</v>
      </c>
      <c r="B403" s="25" t="s">
        <v>408</v>
      </c>
      <c r="C403" s="2" t="str">
        <f ca="1">IFERROR(__xludf.DUMMYFUNCTION("GOOGLETRANSLATE(B403, ""bn"", ""en"")"),"Many people say again, why are religion involved in the festival? What is the problem with celebrating the festival according to religion?")</f>
        <v>Many people say again, why are religion involved in the festival? What is the problem with celebrating the festival according to religion?</v>
      </c>
      <c r="D403" s="2"/>
      <c r="E403" s="2"/>
      <c r="F403" s="2"/>
      <c r="G403" s="2"/>
      <c r="H403" s="3"/>
      <c r="I403" s="3"/>
      <c r="J403" s="3"/>
      <c r="K403" s="3"/>
      <c r="L403" s="3"/>
      <c r="M403" s="3"/>
      <c r="N403" s="3"/>
      <c r="O403" s="3"/>
      <c r="P403" s="3"/>
      <c r="Q403" s="3"/>
      <c r="R403" s="3"/>
      <c r="S403" s="3"/>
      <c r="T403" s="3"/>
      <c r="U403" s="3"/>
      <c r="V403" s="3"/>
      <c r="W403" s="3"/>
      <c r="X403" s="3"/>
      <c r="Y403" s="3"/>
      <c r="Z403" s="3"/>
    </row>
    <row r="404" spans="1:26" ht="15.6" x14ac:dyDescent="0.3">
      <c r="A404" s="19" t="s">
        <v>5</v>
      </c>
      <c r="B404" s="26" t="s">
        <v>409</v>
      </c>
      <c r="C404" s="2" t="str">
        <f ca="1">IFERROR(__xludf.DUMMYFUNCTION("GOOGLETRANSLATE(B404, ""bn"", ""en"")"),"The issue of religion has come to the fore in Bangladesh recently after various killings and attacks. It is also seen through social media that an attempt is being made to attack the opponent by using religion.")</f>
        <v>The issue of religion has come to the fore in Bangladesh recently after various killings and attacks. It is also seen through social media that an attempt is being made to attack the opponent by using religion.</v>
      </c>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6" x14ac:dyDescent="0.3">
      <c r="A405" s="19" t="s">
        <v>3</v>
      </c>
      <c r="B405" s="26" t="s">
        <v>410</v>
      </c>
      <c r="C405" s="2" t="str">
        <f ca="1">IFERROR(__xludf.DUMMYFUNCTION("GOOGLETRANSLATE(B405, ""bn"", ""en"")"),"We consider nature to be God. According to the Gita, man is punished and punished according to the laws of nature, so there is no problem in considering nature as God.")</f>
        <v>We consider nature to be God. According to the Gita, man is punished and punished according to the laws of nature, so there is no problem in considering nature as God.</v>
      </c>
      <c r="D405" s="7"/>
      <c r="E405" s="7"/>
      <c r="F405" s="7"/>
      <c r="G405" s="7"/>
      <c r="H405" s="7"/>
      <c r="I405" s="7"/>
      <c r="J405" s="5"/>
      <c r="K405" s="5"/>
      <c r="L405" s="5"/>
      <c r="M405" s="5"/>
      <c r="N405" s="5"/>
      <c r="O405" s="5"/>
      <c r="P405" s="5"/>
      <c r="Q405" s="5"/>
      <c r="R405" s="5"/>
      <c r="S405" s="5"/>
      <c r="T405" s="5"/>
      <c r="U405" s="5"/>
      <c r="V405" s="5"/>
      <c r="W405" s="5"/>
      <c r="X405" s="5"/>
      <c r="Y405" s="5"/>
      <c r="Z405" s="5"/>
    </row>
    <row r="406" spans="1:26" ht="15.6" x14ac:dyDescent="0.3">
      <c r="A406" s="18" t="s">
        <v>5</v>
      </c>
      <c r="B406" s="24" t="s">
        <v>411</v>
      </c>
      <c r="C406" s="2" t="str">
        <f ca="1">IFERROR(__xludf.DUMMYFUNCTION("GOOGLETRANSLATE(B406, ""bn"", ""en"")"),"During communal riots in a village in Sirajganj, extremists set fire to the houses and temples of minority Hindus. Despite police efforts to reach the spot quickly, the huge crowd went out of control. At least 55 people, mostly women and children, were ki"&amp;"lled in the clashes. Due to the dire situation, many families are forced to leave the village due to insecurity. Attempts to bring the police under control led to massive clashes, and the situation worsened.")</f>
        <v>During communal riots in a village in Sirajganj, extremists set fire to the houses and temples of minority Hindus. Despite police efforts to reach the spot quickly, the huge crowd went out of control. At least 55 people, mostly women and children, were killed in the clashes. Due to the dire situation, many families are forced to leave the village due to insecurity. Attempts to bring the police under control led to massive clashes, and the situation worsened.</v>
      </c>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6" x14ac:dyDescent="0.3">
      <c r="A407" s="18" t="s">
        <v>5</v>
      </c>
      <c r="B407" s="25" t="s">
        <v>412</v>
      </c>
      <c r="C407" s="2" t="str">
        <f ca="1">IFERROR(__xludf.DUMMYFUNCTION("GOOGLETRANSLATE(B407, ""bn"", ""en"")"),"While protesting against the desecration of the Holy Qur'an in Comilla, several people were killed and many injured in police firing in different parts of the country including Chandpur, Feni, Noakhali.")</f>
        <v>While protesting against the desecration of the Holy Qur'an in Comilla, several people were killed and many injured in police firing in different parts of the country including Chandpur, Feni, Noakhali.</v>
      </c>
      <c r="D407" s="2"/>
      <c r="E407" s="2"/>
      <c r="F407" s="2"/>
      <c r="G407" s="2"/>
      <c r="H407" s="5"/>
      <c r="I407" s="5"/>
      <c r="J407" s="5"/>
      <c r="K407" s="5"/>
      <c r="L407" s="5"/>
      <c r="M407" s="5"/>
      <c r="N407" s="5"/>
      <c r="O407" s="5"/>
      <c r="P407" s="5"/>
      <c r="Q407" s="5"/>
      <c r="R407" s="5"/>
      <c r="S407" s="5"/>
      <c r="T407" s="5"/>
      <c r="U407" s="5"/>
      <c r="V407" s="5"/>
      <c r="W407" s="5"/>
      <c r="X407" s="5"/>
      <c r="Y407" s="5"/>
      <c r="Z407" s="5"/>
    </row>
    <row r="408" spans="1:26" ht="15.6" x14ac:dyDescent="0.3">
      <c r="A408" s="18" t="s">
        <v>23</v>
      </c>
      <c r="B408" s="25" t="s">
        <v>413</v>
      </c>
      <c r="C408" s="2" t="str">
        <f ca="1">IFERROR(__xludf.DUMMYFUNCTION("GOOGLETRANSLATE(B408, ""bn"", ""en"")"),"Why not allow iftar mahfil for 95% in a university where 5% of the people have swarsati puja?")</f>
        <v>Why not allow iftar mahfil for 95% in a university where 5% of the people have swarsati puja?</v>
      </c>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6" x14ac:dyDescent="0.3">
      <c r="A409" s="18" t="s">
        <v>23</v>
      </c>
      <c r="B409" s="25" t="s">
        <v>414</v>
      </c>
      <c r="C409" s="2" t="str">
        <f ca="1">IFERROR(__xludf.DUMMYFUNCTION("GOOGLETRANSLATE(B409, ""bn"", ""en"")"),"Minority organizations in Bangladesh will take to the streets to demand justice and rumors of insulting religion")</f>
        <v>Minority organizations in Bangladesh will take to the streets to demand justice and rumors of insulting religion</v>
      </c>
      <c r="D409" s="2"/>
      <c r="E409" s="2"/>
      <c r="F409" s="2"/>
      <c r="G409" s="2"/>
      <c r="H409" s="3"/>
      <c r="I409" s="3"/>
      <c r="J409" s="3"/>
      <c r="K409" s="3"/>
      <c r="L409" s="3"/>
      <c r="M409" s="3"/>
      <c r="N409" s="3"/>
      <c r="O409" s="3"/>
      <c r="P409" s="3"/>
      <c r="Q409" s="3"/>
      <c r="R409" s="3"/>
      <c r="S409" s="3"/>
      <c r="T409" s="3"/>
      <c r="U409" s="3"/>
      <c r="V409" s="3"/>
      <c r="W409" s="3"/>
      <c r="X409" s="3"/>
      <c r="Y409" s="3"/>
      <c r="Z409" s="3"/>
    </row>
    <row r="410" spans="1:26" ht="15.6" x14ac:dyDescent="0.3">
      <c r="A410" s="19" t="s">
        <v>8</v>
      </c>
      <c r="B410" s="26" t="s">
        <v>415</v>
      </c>
      <c r="C410" s="2" t="str">
        <f ca="1">IFERROR(__xludf.DUMMYFUNCTION("GOOGLETRANSLATE(B410, ""bn"", ""en"")"),"Despite being the country's largest religious minority, the country's Muslim community has often been the victim of violent attacks and attacks by certain groups.")</f>
        <v>Despite being the country's largest religious minority, the country's Muslim community has often been the victim of violent attacks and attacks by certain groups.</v>
      </c>
      <c r="D410" s="7"/>
      <c r="E410" s="7"/>
      <c r="F410" s="7"/>
      <c r="G410" s="7"/>
      <c r="H410" s="7"/>
      <c r="I410" s="7"/>
      <c r="J410" s="5"/>
      <c r="K410" s="5"/>
      <c r="L410" s="5"/>
      <c r="M410" s="5"/>
      <c r="N410" s="5"/>
      <c r="O410" s="5"/>
      <c r="P410" s="5"/>
      <c r="Q410" s="5"/>
      <c r="R410" s="5"/>
      <c r="S410" s="5"/>
      <c r="T410" s="5"/>
      <c r="U410" s="5"/>
      <c r="V410" s="5"/>
      <c r="W410" s="5"/>
      <c r="X410" s="5"/>
      <c r="Y410" s="5"/>
      <c r="Z410" s="5"/>
    </row>
    <row r="411" spans="1:26" ht="15.6" x14ac:dyDescent="0.3">
      <c r="A411" s="18" t="s">
        <v>3</v>
      </c>
      <c r="B411" s="25" t="s">
        <v>416</v>
      </c>
      <c r="C411" s="2" t="str">
        <f ca="1">IFERROR(__xludf.DUMMYFUNCTION("GOOGLETRANSLATE(B411, ""bn"", ""en"")"),"He preaches that Allah is One and Unique and says that the only way to gain Allah's pleasure is to submit to Allah. [155] He declares himself to be Allah's Messenger and Prophet and that he is a descendant of previous prophets.")</f>
        <v>He preaches that Allah is One and Unique and says that the only way to gain Allah's pleasure is to submit to Allah. [155] He declares himself to be Allah's Messenger and Prophet and that he is a descendant of previous prophets.</v>
      </c>
      <c r="D411" s="7"/>
      <c r="E411" s="7"/>
      <c r="F411" s="7"/>
      <c r="G411" s="7"/>
      <c r="H411" s="5"/>
      <c r="I411" s="5"/>
      <c r="J411" s="5"/>
      <c r="K411" s="5"/>
      <c r="L411" s="5"/>
      <c r="M411" s="5"/>
      <c r="N411" s="5"/>
      <c r="O411" s="5"/>
      <c r="P411" s="5"/>
      <c r="Q411" s="5"/>
      <c r="R411" s="5"/>
      <c r="S411" s="5"/>
      <c r="T411" s="5"/>
      <c r="U411" s="5"/>
      <c r="V411" s="5"/>
      <c r="W411" s="5"/>
      <c r="X411" s="5"/>
      <c r="Y411" s="5"/>
      <c r="Z411" s="5"/>
    </row>
    <row r="412" spans="1:26" ht="15.6" x14ac:dyDescent="0.3">
      <c r="A412" s="19" t="s">
        <v>8</v>
      </c>
      <c r="B412" s="26" t="s">
        <v>417</v>
      </c>
      <c r="C412" s="2" t="str">
        <f ca="1">IFERROR(__xludf.DUMMYFUNCTION("GOOGLETRANSLATE(B412, ""bn"", ""en"")"),"A mosque was attacked and vandalized during prayers in Comilla, in which 4 worshipers were injured.")</f>
        <v>A mosque was attacked and vandalized during prayers in Comilla, in which 4 worshipers were injured.</v>
      </c>
      <c r="D412" s="7"/>
      <c r="E412" s="7"/>
      <c r="F412" s="7"/>
      <c r="G412" s="5"/>
      <c r="H412" s="5"/>
      <c r="I412" s="5"/>
      <c r="J412" s="5"/>
      <c r="K412" s="5"/>
      <c r="L412" s="5"/>
      <c r="M412" s="5"/>
      <c r="N412" s="5"/>
      <c r="O412" s="5"/>
      <c r="P412" s="5"/>
      <c r="Q412" s="5"/>
      <c r="R412" s="5"/>
      <c r="S412" s="5"/>
      <c r="T412" s="5"/>
      <c r="U412" s="5"/>
      <c r="V412" s="5"/>
      <c r="W412" s="5"/>
      <c r="X412" s="5"/>
      <c r="Y412" s="5"/>
      <c r="Z412" s="5"/>
    </row>
    <row r="413" spans="1:26" ht="15.6" x14ac:dyDescent="0.3">
      <c r="A413" s="18" t="s">
        <v>23</v>
      </c>
      <c r="B413" s="25" t="s">
        <v>418</v>
      </c>
      <c r="C413" s="2" t="str">
        <f ca="1">IFERROR(__xludf.DUMMYFUNCTION("GOOGLETRANSLATE(B413, ""bn"", ""en"")"),"Some sectarian leaders argue that it is a simple appeal to the common people to understand and comment or argue. Get to know each other as people. It is not right to do dirty religion politics with ordinary people.")</f>
        <v>Some sectarian leaders argue that it is a simple appeal to the common people to understand and comment or argue. Get to know each other as people. It is not right to do dirty religion politics with ordinary people.</v>
      </c>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6" x14ac:dyDescent="0.3">
      <c r="A414" s="18" t="s">
        <v>23</v>
      </c>
      <c r="B414" s="25" t="s">
        <v>419</v>
      </c>
      <c r="C414" s="2" t="str">
        <f ca="1">IFERROR(__xludf.DUMMYFUNCTION("GOOGLETRANSLATE(B414, ""bn"", ""en"")"),"First of all, we do not support anything that insults Hazrat Muhammad Mustafa (PBUH). It hurt the sentiments of devout Muslims.")</f>
        <v>First of all, we do not support anything that insults Hazrat Muhammad Mustafa (PBUH). It hurt the sentiments of devout Muslims.</v>
      </c>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6" x14ac:dyDescent="0.3">
      <c r="A415" s="18" t="s">
        <v>3</v>
      </c>
      <c r="B415" s="25" t="s">
        <v>420</v>
      </c>
      <c r="C415" s="2" t="str">
        <f ca="1">IFERROR(__xludf.DUMMYFUNCTION("GOOGLETRANSLATE(B415, ""bn"", ""en"")"),"Religion inculcates moral values ​​in human life and through it inspires people to follow the right path.")</f>
        <v>Religion inculcates moral values ​​in human life and through it inspires people to follow the right path.</v>
      </c>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6" x14ac:dyDescent="0.3">
      <c r="A416" s="18" t="s">
        <v>8</v>
      </c>
      <c r="B416" s="25" t="s">
        <v>421</v>
      </c>
      <c r="C416" s="2" t="str">
        <f ca="1">IFERROR(__xludf.DUMMYFUNCTION("GOOGLETRANSLATE(B416, ""bn"", ""en"")"),"The crew of the steamer looted everything from the Hindu passengers.")</f>
        <v>The crew of the steamer looted everything from the Hindu passengers.</v>
      </c>
      <c r="D416" s="6"/>
      <c r="E416" s="6"/>
      <c r="F416" s="6"/>
      <c r="G416" s="6"/>
      <c r="H416" s="3"/>
      <c r="I416" s="3"/>
      <c r="J416" s="3"/>
      <c r="K416" s="3"/>
      <c r="L416" s="3"/>
      <c r="M416" s="3"/>
      <c r="N416" s="3"/>
      <c r="O416" s="3"/>
      <c r="P416" s="3"/>
      <c r="Q416" s="3"/>
      <c r="R416" s="3"/>
      <c r="S416" s="3"/>
      <c r="T416" s="3"/>
      <c r="U416" s="3"/>
      <c r="V416" s="3"/>
      <c r="W416" s="3"/>
      <c r="X416" s="3"/>
      <c r="Y416" s="3"/>
      <c r="Z416" s="3"/>
    </row>
    <row r="417" spans="1:26" ht="15.6" x14ac:dyDescent="0.3">
      <c r="A417" s="18" t="s">
        <v>5</v>
      </c>
      <c r="B417" s="25" t="s">
        <v>422</v>
      </c>
      <c r="C417" s="2" t="str">
        <f ca="1">IFERROR(__xludf.DUMMYFUNCTION("GOOGLETRANSLATE(B417, ""bn"", ""en"")"),"All the four killed by the police in Hajiganj due to religious tension are Muslims. My golden bangla cries, while Islam is claimed as our state religion.")</f>
        <v>All the four killed by the police in Hajiganj due to religious tension are Muslims. My golden bangla cries, while Islam is claimed as our state religion.</v>
      </c>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6" x14ac:dyDescent="0.3">
      <c r="A418" s="18" t="s">
        <v>5</v>
      </c>
      <c r="B418" s="24" t="s">
        <v>423</v>
      </c>
      <c r="C418" s="2" t="str">
        <f ca="1">IFERROR(__xludf.DUMMYFUNCTION("GOOGLETRANSLATE(B418, ""bn"", ""en"")"),"30 people killed in sectarian clashes between religious groups in Cox's Bazar; Extensive property was destroyed.")</f>
        <v>30 people killed in sectarian clashes between religious groups in Cox's Bazar; Extensive property was destroyed.</v>
      </c>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6" x14ac:dyDescent="0.3">
      <c r="A419" s="18" t="s">
        <v>3</v>
      </c>
      <c r="B419" s="25" t="s">
        <v>424</v>
      </c>
      <c r="C419" s="2" t="str">
        <f ca="1">IFERROR(__xludf.DUMMYFUNCTION("GOOGLETRANSLATE(B419, ""bn"", ""en"")"),"Allah testifies that there is no god but Him. The angels and the righteous wise have also testified that there is no god but Him. He is mighty wise.")</f>
        <v>Allah testifies that there is no god but Him. The angels and the righteous wise have also testified that there is no god but Him. He is mighty wise.</v>
      </c>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6" x14ac:dyDescent="0.3">
      <c r="A420" s="19" t="s">
        <v>3</v>
      </c>
      <c r="B420" s="26" t="s">
        <v>425</v>
      </c>
      <c r="C420" s="2" t="str">
        <f ca="1">IFERROR(__xludf.DUMMYFUNCTION("GOOGLETRANSLATE(B420, ""bn"", ""en"")"),"A Muslim's behavior should be such that touches people's hearts and makes Islam attractive.")</f>
        <v>A Muslim's behavior should be such that touches people's hearts and makes Islam attractive.</v>
      </c>
      <c r="D420" s="7"/>
      <c r="E420" s="7"/>
      <c r="F420" s="7"/>
      <c r="G420" s="7"/>
      <c r="H420" s="5"/>
      <c r="I420" s="5"/>
      <c r="J420" s="5"/>
      <c r="K420" s="5"/>
      <c r="L420" s="5"/>
      <c r="M420" s="5"/>
      <c r="N420" s="5"/>
      <c r="O420" s="5"/>
      <c r="P420" s="5"/>
      <c r="Q420" s="5"/>
      <c r="R420" s="5"/>
      <c r="S420" s="5"/>
      <c r="T420" s="5"/>
      <c r="U420" s="5"/>
      <c r="V420" s="5"/>
      <c r="W420" s="5"/>
      <c r="X420" s="5"/>
      <c r="Y420" s="5"/>
      <c r="Z420" s="5"/>
    </row>
    <row r="421" spans="1:26" ht="15.6" x14ac:dyDescent="0.3">
      <c r="A421" s="18" t="s">
        <v>23</v>
      </c>
      <c r="B421" s="25" t="s">
        <v>426</v>
      </c>
      <c r="C421" s="2" t="str">
        <f ca="1">IFERROR(__xludf.DUMMYFUNCTION("GOOGLETRANSLATE(B421, ""bn"", ""en"")"),"I knew it was a religion-caste neutral state. Now I see day by day it is becoming an anti-Islamic state.")</f>
        <v>I knew it was a religion-caste neutral state. Now I see day by day it is becoming an anti-Islamic state.</v>
      </c>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6" x14ac:dyDescent="0.3">
      <c r="A422" s="18" t="s">
        <v>5</v>
      </c>
      <c r="B422" s="25" t="s">
        <v>427</v>
      </c>
      <c r="C422" s="2" t="str">
        <f ca="1">IFERROR(__xludf.DUMMYFUNCTION("GOOGLETRANSLATE(B422, ""bn"", ""en"")"),"After the Gulshan attack, the police found a terrorist hideout in this Taj Manjil in the capital's Kalyanpur; On July 26, nine militants were killed in an operation by the law and order forces.")</f>
        <v>After the Gulshan attack, the police found a terrorist hideout in this Taj Manjil in the capital's Kalyanpur; On July 26, nine militants were killed in an operation by the law and order forces.</v>
      </c>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6" x14ac:dyDescent="0.3">
      <c r="A423" s="18" t="s">
        <v>8</v>
      </c>
      <c r="B423" s="25" t="s">
        <v>428</v>
      </c>
      <c r="C423" s="2" t="str">
        <f ca="1">IFERROR(__xludf.DUMMYFUNCTION("GOOGLETRANSLATE(B423, ""bn"", ""en"")"),"In August, innocent Hindu communities in Sylhet district's Biyanibazar and Baralekha police station areas were attacked by local Muslim residents with the help of police and Ansar forces.")</f>
        <v>In August, innocent Hindu communities in Sylhet district's Biyanibazar and Baralekha police station areas were attacked by local Muslim residents with the help of police and Ansar forces.</v>
      </c>
      <c r="D423" s="6"/>
      <c r="E423" s="6"/>
      <c r="F423" s="2"/>
      <c r="G423" s="2"/>
      <c r="H423" s="5"/>
      <c r="I423" s="5"/>
      <c r="J423" s="5"/>
      <c r="K423" s="5"/>
      <c r="L423" s="5"/>
      <c r="M423" s="5"/>
      <c r="N423" s="5"/>
      <c r="O423" s="5"/>
      <c r="P423" s="5"/>
      <c r="Q423" s="5"/>
      <c r="R423" s="5"/>
      <c r="S423" s="5"/>
      <c r="T423" s="5"/>
      <c r="U423" s="5"/>
      <c r="V423" s="5"/>
      <c r="W423" s="5"/>
      <c r="X423" s="5"/>
      <c r="Y423" s="5"/>
      <c r="Z423" s="5"/>
    </row>
    <row r="424" spans="1:26" ht="15.6" x14ac:dyDescent="0.3">
      <c r="A424" s="18" t="s">
        <v>5</v>
      </c>
      <c r="B424" s="24" t="s">
        <v>429</v>
      </c>
      <c r="C424" s="2" t="str">
        <f ca="1">IFERROR(__xludf.DUMMYFUNCTION("GOOGLETRANSLATE(B424, ""bn"", ""en"")"),"19 people were killed in the protests, disenfranchising people of a religious community.")</f>
        <v>19 people were killed in the protests, disenfranchising people of a religious community.</v>
      </c>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6" x14ac:dyDescent="0.3">
      <c r="A425" s="18" t="s">
        <v>3</v>
      </c>
      <c r="B425" s="24" t="s">
        <v>430</v>
      </c>
      <c r="C425" s="2" t="str">
        <f ca="1">IFERROR(__xludf.DUMMYFUNCTION("GOOGLETRANSLATE(B425, ""bn"", ""en"")"),"When someone speaks well of someone, it can amount to a form of worship or worship.")</f>
        <v>When someone speaks well of someone, it can amount to a form of worship or worship.</v>
      </c>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6" x14ac:dyDescent="0.3">
      <c r="A426" s="18" t="s">
        <v>8</v>
      </c>
      <c r="B426" s="24" t="s">
        <v>431</v>
      </c>
      <c r="C426" s="2" t="str">
        <f ca="1">IFERROR(__xludf.DUMMYFUNCTION("GOOGLETRANSLATE(B426, ""bn"", ""en"")"),"Miscreants broke into the grandmother's house in Pabna and broke the idol made of wood and metal.")</f>
        <v>Miscreants broke into the grandmother's house in Pabna and broke the idol made of wood and metal.</v>
      </c>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6" x14ac:dyDescent="0.3">
      <c r="A427" s="19" t="s">
        <v>5</v>
      </c>
      <c r="B427" s="26" t="s">
        <v>432</v>
      </c>
      <c r="C427" s="2" t="str">
        <f ca="1">IFERROR(__xludf.DUMMYFUNCTION("GOOGLETRANSLATE(B427, ""bn"", ""en"")"),"Between Amishapara and Satgharia, Bhowmik and Pal families were set on fire killing 19 people and women were dishonoured.")</f>
        <v>Between Amishapara and Satgharia, Bhowmik and Pal families were set on fire killing 19 people and women were dishonoured.</v>
      </c>
      <c r="D427" s="7"/>
      <c r="E427" s="7"/>
      <c r="F427" s="7"/>
      <c r="G427" s="7"/>
      <c r="H427" s="7"/>
      <c r="I427" s="7"/>
      <c r="J427" s="5"/>
      <c r="K427" s="5"/>
      <c r="L427" s="5"/>
      <c r="M427" s="5"/>
      <c r="N427" s="5"/>
      <c r="O427" s="5"/>
      <c r="P427" s="5"/>
      <c r="Q427" s="5"/>
      <c r="R427" s="5"/>
      <c r="S427" s="5"/>
      <c r="T427" s="5"/>
      <c r="U427" s="5"/>
      <c r="V427" s="5"/>
      <c r="W427" s="5"/>
      <c r="X427" s="5"/>
      <c r="Y427" s="5"/>
      <c r="Z427" s="5"/>
    </row>
    <row r="428" spans="1:26" ht="15.6" x14ac:dyDescent="0.3">
      <c r="A428" s="18" t="s">
        <v>5</v>
      </c>
      <c r="B428" s="24" t="s">
        <v>433</v>
      </c>
      <c r="C428" s="2" t="str">
        <f ca="1">IFERROR(__xludf.DUMMYFUNCTION("GOOGLETRANSLATE(B428, ""bn"", ""en"")"),"A religious sect forbids blood donation, forcing many patients to die; The death toll is at least 40.")</f>
        <v>A religious sect forbids blood donation, forcing many patients to die; The death toll is at least 40.</v>
      </c>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6" x14ac:dyDescent="0.3">
      <c r="A429" s="19" t="s">
        <v>5</v>
      </c>
      <c r="B429" s="26" t="s">
        <v>434</v>
      </c>
      <c r="C429" s="2" t="str">
        <f ca="1">IFERROR(__xludf.DUMMYFUNCTION("GOOGLETRANSLATE(B429, ""bn"", ""en"")"),"On March 19, 400 Arta Hindu refugees from Jinjira village in Maheshpur, Bangladesh, crossed the border and took refuge in a nearby area, one of whom was shot dead by border guards.")</f>
        <v>On March 19, 400 Arta Hindu refugees from Jinjira village in Maheshpur, Bangladesh, crossed the border and took refuge in a nearby area, one of whom was shot dead by border guards.</v>
      </c>
      <c r="D429" s="7"/>
      <c r="E429" s="7"/>
      <c r="F429" s="7"/>
      <c r="G429" s="7"/>
      <c r="H429" s="7"/>
      <c r="I429" s="7"/>
      <c r="J429" s="7"/>
      <c r="K429" s="7"/>
      <c r="L429" s="7"/>
      <c r="M429" s="7"/>
      <c r="N429" s="7"/>
      <c r="O429" s="5"/>
      <c r="P429" s="5"/>
      <c r="Q429" s="5"/>
      <c r="R429" s="5"/>
      <c r="S429" s="5"/>
      <c r="T429" s="5"/>
      <c r="U429" s="5"/>
      <c r="V429" s="5"/>
      <c r="W429" s="5"/>
      <c r="X429" s="5"/>
      <c r="Y429" s="5"/>
      <c r="Z429" s="5"/>
    </row>
    <row r="430" spans="1:26" ht="15.6" x14ac:dyDescent="0.3">
      <c r="A430" s="18" t="s">
        <v>23</v>
      </c>
      <c r="B430" s="25" t="s">
        <v>435</v>
      </c>
      <c r="C430" s="2" t="str">
        <f ca="1">IFERROR(__xludf.DUMMYFUNCTION("GOOGLETRANSLATE(B430, ""bn"", ""en"")"),"They are all the work of foreign cliques with some domestic spoons in them. Iftar party has been stopped this year, so that next year Hindus will not be able to perform puja.")</f>
        <v>They are all the work of foreign cliques with some domestic spoons in them. Iftar party has been stopped this year, so that next year Hindus will not be able to perform puja.</v>
      </c>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6" x14ac:dyDescent="0.3">
      <c r="A431" s="18" t="s">
        <v>5</v>
      </c>
      <c r="B431" s="25" t="s">
        <v>436</v>
      </c>
      <c r="C431" s="2" t="str">
        <f ca="1">IFERROR(__xludf.DUMMYFUNCTION("GOOGLETRANSLATE(B431, ""bn"", ""en"")"),"Millions of people were killed in the 15-year-long civil war between the Muslim and Christian communities.")</f>
        <v>Millions of people were killed in the 15-year-long civil war between the Muslim and Christian communities.</v>
      </c>
      <c r="D431" s="7"/>
      <c r="E431" s="7"/>
      <c r="F431" s="7"/>
      <c r="G431" s="7"/>
      <c r="H431" s="7"/>
      <c r="I431" s="7"/>
      <c r="J431" s="7"/>
      <c r="K431" s="7"/>
      <c r="L431" s="7"/>
      <c r="M431" s="7"/>
      <c r="N431" s="5"/>
      <c r="O431" s="5"/>
      <c r="P431" s="5"/>
      <c r="Q431" s="5"/>
      <c r="R431" s="5"/>
      <c r="S431" s="5"/>
      <c r="T431" s="5"/>
      <c r="U431" s="5"/>
      <c r="V431" s="5"/>
      <c r="W431" s="5"/>
      <c r="X431" s="5"/>
      <c r="Y431" s="5"/>
      <c r="Z431" s="5"/>
    </row>
    <row r="432" spans="1:26" ht="15.6" x14ac:dyDescent="0.3">
      <c r="A432" s="19" t="s">
        <v>5</v>
      </c>
      <c r="B432" s="26" t="s">
        <v>437</v>
      </c>
      <c r="C432" s="2" t="str">
        <f ca="1">IFERROR(__xludf.DUMMYFUNCTION("GOOGLETRANSLATE(B432, ""bn"", ""en"")"),"Chairman of Debate for Democracy Hasan Ahmed Chowdhury Kiran said in the President's speech that the killings that took place in the Hefazet Islam mass gathering in the late night of May 5 at Shapla Chatter in Motijheel, are in the history of Bangladesh. "&amp;"A scandalous chapter. Justice for this barbaric massacre of sleeping Muslims is now the demand of time.")</f>
        <v>Chairman of Debate for Democracy Hasan Ahmed Chowdhury Kiran said in the President's speech that the killings that took place in the Hefazet Islam mass gathering in the late night of May 5 at Shapla Chatter in Motijheel, are in the history of Bangladesh. A scandalous chapter. Justice for this barbaric massacre of sleeping Muslims is now the demand of time.</v>
      </c>
      <c r="D432" s="7"/>
      <c r="E432" s="7"/>
      <c r="F432" s="7"/>
      <c r="G432" s="7"/>
      <c r="H432" s="7"/>
      <c r="I432" s="7"/>
      <c r="J432" s="7"/>
      <c r="K432" s="7"/>
      <c r="L432" s="7"/>
      <c r="M432" s="5"/>
      <c r="N432" s="5"/>
      <c r="O432" s="5"/>
      <c r="P432" s="5"/>
      <c r="Q432" s="5"/>
      <c r="R432" s="5"/>
      <c r="S432" s="5"/>
      <c r="T432" s="5"/>
      <c r="U432" s="5"/>
      <c r="V432" s="5"/>
      <c r="W432" s="5"/>
      <c r="X432" s="5"/>
      <c r="Y432" s="5"/>
      <c r="Z432" s="5"/>
    </row>
    <row r="433" spans="1:26" ht="15.6" x14ac:dyDescent="0.3">
      <c r="A433" s="18" t="s">
        <v>5</v>
      </c>
      <c r="B433" s="24" t="s">
        <v>438</v>
      </c>
      <c r="C433" s="2" t="str">
        <f ca="1">IFERROR(__xludf.DUMMYFUNCTION("GOOGLETRANSLATE(B433, ""bn"", ""en"")"),"In February 2017, a group attacked an artist's exhibition for allegedly hurting religious sentiments and seriously injured him; 15 people were killed.")</f>
        <v>In February 2017, a group attacked an artist's exhibition for allegedly hurting religious sentiments and seriously injured him; 15 people were killed.</v>
      </c>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6" x14ac:dyDescent="0.3">
      <c r="A434" s="18" t="s">
        <v>5</v>
      </c>
      <c r="B434" s="24" t="s">
        <v>439</v>
      </c>
      <c r="C434" s="2" t="str">
        <f ca="1">IFERROR(__xludf.DUMMYFUNCTION("GOOGLETRANSLATE(B434, ""bn"", ""en"")"),"In the village of Chandpur, religious extremism led to massive clashes. The police resorted to lathicharge to bring the situation under control, but the crowd resisted them. At least 51 people were killed. The victims burnt down their houses and temples. "&amp;"Many people fled the village due to lack of security. The situation could not be brought under control due to lack of action of the administration.")</f>
        <v>In the village of Chandpur, religious extremism led to massive clashes. The police resorted to lathicharge to bring the situation under control, but the crowd resisted them. At least 51 people were killed. The victims burnt down their houses and temples. Many people fled the village due to lack of security. The situation could not be brought under control due to lack of action of the administration.</v>
      </c>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6" x14ac:dyDescent="0.3">
      <c r="A435" s="18" t="s">
        <v>8</v>
      </c>
      <c r="B435" s="25" t="s">
        <v>440</v>
      </c>
      <c r="C435" s="2" t="str">
        <f ca="1">IFERROR(__xludf.DUMMYFUNCTION("GOOGLETRANSLATE(B435, ""bn"", ""en"")"),"Attack on Christian family in Barisal")</f>
        <v>Attack on Christian family in Barisal</v>
      </c>
      <c r="D435" s="2"/>
      <c r="E435" s="2"/>
      <c r="F435" s="2"/>
      <c r="G435" s="2"/>
      <c r="H435" s="3"/>
      <c r="I435" s="3"/>
      <c r="J435" s="3"/>
      <c r="K435" s="3"/>
      <c r="L435" s="3"/>
      <c r="M435" s="3"/>
      <c r="N435" s="3"/>
      <c r="O435" s="3"/>
      <c r="P435" s="3"/>
      <c r="Q435" s="3"/>
      <c r="R435" s="3"/>
      <c r="S435" s="3"/>
      <c r="T435" s="3"/>
      <c r="U435" s="3"/>
      <c r="V435" s="3"/>
      <c r="W435" s="3"/>
      <c r="X435" s="3"/>
      <c r="Y435" s="3"/>
      <c r="Z435" s="3"/>
    </row>
    <row r="436" spans="1:26" ht="15.6" x14ac:dyDescent="0.3">
      <c r="A436" s="19" t="s">
        <v>5</v>
      </c>
      <c r="B436" s="26" t="s">
        <v>441</v>
      </c>
      <c r="C436" s="2" t="str">
        <f ca="1">IFERROR(__xludf.DUMMYFUNCTION("GOOGLETRANSLATE(B436, ""bn"", ""en"")"),"Religion is for the peace of people but now it has turned into politics and is killing people. Even though I am secular, it means we do not exist without the Supreme.")</f>
        <v>Religion is for the peace of people but now it has turned into politics and is killing people. Even though I am secular, it means we do not exist without the Supreme.</v>
      </c>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6" x14ac:dyDescent="0.3">
      <c r="A437" s="18" t="s">
        <v>3</v>
      </c>
      <c r="B437" s="25" t="s">
        <v>442</v>
      </c>
      <c r="C437" s="2" t="str">
        <f ca="1">IFERROR(__xludf.DUMMYFUNCTION("GOOGLETRANSLATE(B437, ""bn"", ""en"")"),"After the Zuhr prayer, the Muslim crowd gathers with faith in the hope of God's pleasure. It is believed that millions of people gathered in the Tawhidi spirit.")</f>
        <v>After the Zuhr prayer, the Muslim crowd gathers with faith in the hope of God's pleasure. It is believed that millions of people gathered in the Tawhidi spirit.</v>
      </c>
      <c r="D437" s="2"/>
      <c r="E437" s="2"/>
      <c r="F437" s="2"/>
      <c r="G437" s="2"/>
      <c r="H437" s="5"/>
      <c r="I437" s="5"/>
      <c r="J437" s="5"/>
      <c r="K437" s="5"/>
      <c r="L437" s="5"/>
      <c r="M437" s="5"/>
      <c r="N437" s="5"/>
      <c r="O437" s="5"/>
      <c r="P437" s="5"/>
      <c r="Q437" s="5"/>
      <c r="R437" s="5"/>
      <c r="S437" s="5"/>
      <c r="T437" s="5"/>
      <c r="U437" s="5"/>
      <c r="V437" s="5"/>
      <c r="W437" s="5"/>
      <c r="X437" s="5"/>
      <c r="Y437" s="5"/>
      <c r="Z437" s="5"/>
    </row>
    <row r="438" spans="1:26" ht="15.6" x14ac:dyDescent="0.3">
      <c r="A438" s="18" t="s">
        <v>8</v>
      </c>
      <c r="B438" s="25" t="s">
        <v>443</v>
      </c>
      <c r="C438" s="2" t="str">
        <f ca="1">IFERROR(__xludf.DUMMYFUNCTION("GOOGLETRANSLATE(B438, ""bn"", ""en"")"),"Unspeakable atrocities were committed against the remaining Hindus there. Temples were demolished. Women were abducted and raped.")</f>
        <v>Unspeakable atrocities were committed against the remaining Hindus there. Temples were demolished. Women were abducted and raped.</v>
      </c>
      <c r="D438" s="6"/>
      <c r="E438" s="6"/>
      <c r="F438" s="2"/>
      <c r="G438" s="2"/>
      <c r="H438" s="3"/>
      <c r="I438" s="3"/>
      <c r="J438" s="3"/>
      <c r="K438" s="3"/>
      <c r="L438" s="3"/>
      <c r="M438" s="3"/>
      <c r="N438" s="3"/>
      <c r="O438" s="3"/>
      <c r="P438" s="3"/>
      <c r="Q438" s="3"/>
      <c r="R438" s="3"/>
      <c r="S438" s="3"/>
      <c r="T438" s="3"/>
      <c r="U438" s="3"/>
      <c r="V438" s="3"/>
      <c r="W438" s="3"/>
      <c r="X438" s="3"/>
      <c r="Y438" s="3"/>
      <c r="Z438" s="3"/>
    </row>
    <row r="439" spans="1:26" ht="15.6" x14ac:dyDescent="0.3">
      <c r="A439" s="18" t="s">
        <v>8</v>
      </c>
      <c r="B439" s="25" t="s">
        <v>444</v>
      </c>
      <c r="C439" s="2" t="str">
        <f ca="1">IFERROR(__xludf.DUMMYFUNCTION("GOOGLETRANSLATE(B439, ""bn"", ""en"")"),"After the fall of the government, more than a hundred minority families were attacked, apart from the Hindu leaders and activists of the League. Communal attacks in the capital, Chittagong metropolis and divisional cities are not much, but in the rural ar"&amp;"eas, especially Jessore, Khulna, Bagerhat, Satkhira districts, there has been torture and persecution.")</f>
        <v>After the fall of the government, more than a hundred minority families were attacked, apart from the Hindu leaders and activists of the League. Communal attacks in the capital, Chittagong metropolis and divisional cities are not much, but in the rural areas, especially Jessore, Khulna, Bagerhat, Satkhira districts, there has been torture and persecution.</v>
      </c>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6" x14ac:dyDescent="0.3">
      <c r="A440" s="18" t="s">
        <v>5</v>
      </c>
      <c r="B440" s="25" t="s">
        <v>445</v>
      </c>
      <c r="C440" s="2" t="str">
        <f ca="1">IFERROR(__xludf.DUMMYFUNCTION("GOOGLETRANSLATE(B440, ""bn"", ""en"")"),"The Office of the Chief Adviser recently held a press conference on the information provided by the Bangladesh Hindu Buddhist Christian Oikya Parishad that 23 people were killed in communal violence in the last five months of last year. It was claimed tha"&amp;"t the details of an incident were not available")</f>
        <v>The Office of the Chief Adviser recently held a press conference on the information provided by the Bangladesh Hindu Buddhist Christian Oikya Parishad that 23 people were killed in communal violence in the last five months of last year. It was claimed that the details of an incident were not available</v>
      </c>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6" x14ac:dyDescent="0.3">
      <c r="A441" s="18" t="s">
        <v>3</v>
      </c>
      <c r="B441" s="25" t="s">
        <v>446</v>
      </c>
      <c r="C441" s="2" t="str">
        <f ca="1">IFERROR(__xludf.DUMMYFUNCTION("GOOGLETRANSLATE(B441, ""bn"", ""en"")"),"Dalit lower castes from among the marginalized masses – who were earlier attracted to the anti-caste message of Buddhism – also started returning to Sanatan religion due to changing geopolitical reasons.")</f>
        <v>Dalit lower castes from among the marginalized masses – who were earlier attracted to the anti-caste message of Buddhism – also started returning to Sanatan religion due to changing geopolitical reasons.</v>
      </c>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6" x14ac:dyDescent="0.3">
      <c r="A442" s="18" t="s">
        <v>8</v>
      </c>
      <c r="B442" s="25" t="s">
        <v>447</v>
      </c>
      <c r="C442" s="2" t="str">
        <f ca="1">IFERROR(__xludf.DUMMYFUNCTION("GOOGLETRANSLATE(B442, ""bn"", ""en"")"),"Here the temples and houses of the religious minorities are attacked by the extremists. Later the government blamed the minority leaders.")</f>
        <v>Here the temples and houses of the religious minorities are attacked by the extremists. Later the government blamed the minority leaders.</v>
      </c>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6" x14ac:dyDescent="0.3">
      <c r="A443" s="19" t="s">
        <v>3</v>
      </c>
      <c r="B443" s="26" t="s">
        <v>448</v>
      </c>
      <c r="C443" s="2" t="str">
        <f ca="1">IFERROR(__xludf.DUMMYFUNCTION("GOOGLETRANSLATE(B443, ""bn"", ""en"")"),"On 21 August 2006, 40-year-old Janakrani burned to death at her husband's funeral in Sagar district, unforced or induced.")</f>
        <v>On 21 August 2006, 40-year-old Janakrani burned to death at her husband's funeral in Sagar district, unforced or induced.</v>
      </c>
      <c r="D443" s="7"/>
      <c r="E443" s="7"/>
      <c r="F443" s="7"/>
      <c r="G443" s="7"/>
      <c r="H443" s="7"/>
      <c r="I443" s="7"/>
      <c r="J443" s="5"/>
      <c r="K443" s="5"/>
      <c r="L443" s="5"/>
      <c r="M443" s="5"/>
      <c r="N443" s="5"/>
      <c r="O443" s="5"/>
      <c r="P443" s="5"/>
      <c r="Q443" s="5"/>
      <c r="R443" s="5"/>
      <c r="S443" s="5"/>
      <c r="T443" s="5"/>
      <c r="U443" s="5"/>
      <c r="V443" s="5"/>
      <c r="W443" s="5"/>
      <c r="X443" s="5"/>
      <c r="Y443" s="5"/>
      <c r="Z443" s="5"/>
    </row>
    <row r="444" spans="1:26" ht="15.6" x14ac:dyDescent="0.3">
      <c r="A444" s="18" t="s">
        <v>8</v>
      </c>
      <c r="B444" s="24" t="s">
        <v>449</v>
      </c>
      <c r="C444" s="2" t="str">
        <f ca="1">IFERROR(__xludf.DUMMYFUNCTION("GOOGLETRANSLATE(B444, ""bn"", ""en"")"),"A group of miscreants broke the gate of a mosque in Comilla and pelted stones and vandalized the mosque, causing panic among worshippers.")</f>
        <v>A group of miscreants broke the gate of a mosque in Comilla and pelted stones and vandalized the mosque, causing panic among worshippers.</v>
      </c>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6" x14ac:dyDescent="0.3">
      <c r="A445" s="18" t="s">
        <v>8</v>
      </c>
      <c r="B445" s="25" t="s">
        <v>450</v>
      </c>
      <c r="C445" s="2" t="str">
        <f ca="1">IFERROR(__xludf.DUMMYFUNCTION("GOOGLETRANSLATE(B445, ""bn"", ""en"")"),"Many people have been subjected to hate attacks for being heterosexual, which remains a brutal chapter in history.")</f>
        <v>Many people have been subjected to hate attacks for being heterosexual, which remains a brutal chapter in history.</v>
      </c>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6" x14ac:dyDescent="0.3">
      <c r="A446" s="19" t="s">
        <v>5</v>
      </c>
      <c r="B446" s="26" t="s">
        <v>451</v>
      </c>
      <c r="C446" s="2" t="str">
        <f ca="1">IFERROR(__xludf.DUMMYFUNCTION("GOOGLETRANSLATE(B446, ""bn"", ""en"")"),"Thousands of Sikhs were killed in the 1984 anti-Sikh riots, a horrific event involving religious intolerance.")</f>
        <v>Thousands of Sikhs were killed in the 1984 anti-Sikh riots, a horrific event involving religious intolerance.</v>
      </c>
      <c r="D446" s="7"/>
      <c r="E446" s="7"/>
      <c r="F446" s="7"/>
      <c r="G446" s="7"/>
      <c r="H446" s="5"/>
      <c r="I446" s="5"/>
      <c r="J446" s="5"/>
      <c r="K446" s="5"/>
      <c r="L446" s="5"/>
      <c r="M446" s="5"/>
      <c r="N446" s="5"/>
      <c r="O446" s="5"/>
      <c r="P446" s="5"/>
      <c r="Q446" s="5"/>
      <c r="R446" s="5"/>
      <c r="S446" s="5"/>
      <c r="T446" s="5"/>
      <c r="U446" s="5"/>
      <c r="V446" s="5"/>
      <c r="W446" s="5"/>
      <c r="X446" s="5"/>
      <c r="Y446" s="5"/>
      <c r="Z446" s="5"/>
    </row>
    <row r="447" spans="1:26" ht="15.6" x14ac:dyDescent="0.3">
      <c r="A447" s="18" t="s">
        <v>3</v>
      </c>
      <c r="B447" s="25" t="s">
        <v>452</v>
      </c>
      <c r="C447" s="2" t="str">
        <f ca="1">IFERROR(__xludf.DUMMYFUNCTION("GOOGLETRANSLATE(B447, ""bn"", ""en"")"),"Bro, make another video about Banan Jannat - I can't count how many times I've seen this video - I've kind of memorized the video. I will be happy if you give new Jannat video with reference, dear brother.")</f>
        <v>Bro, make another video about Banan Jannat - I can't count how many times I've seen this video - I've kind of memorized the video. I will be happy if you give new Jannat video with reference, dear brother.</v>
      </c>
      <c r="D447" s="2"/>
      <c r="E447" s="2"/>
      <c r="F447" s="2"/>
      <c r="G447" s="2"/>
      <c r="H447" s="3"/>
      <c r="I447" s="3"/>
      <c r="J447" s="3"/>
      <c r="K447" s="3"/>
      <c r="L447" s="3"/>
      <c r="M447" s="3"/>
      <c r="N447" s="3"/>
      <c r="O447" s="3"/>
      <c r="P447" s="3"/>
      <c r="Q447" s="3"/>
      <c r="R447" s="3"/>
      <c r="S447" s="3"/>
      <c r="T447" s="3"/>
      <c r="U447" s="3"/>
      <c r="V447" s="3"/>
      <c r="W447" s="3"/>
      <c r="X447" s="3"/>
      <c r="Y447" s="3"/>
      <c r="Z447" s="3"/>
    </row>
    <row r="448" spans="1:26" ht="15.6" x14ac:dyDescent="0.3">
      <c r="A448" s="18" t="s">
        <v>8</v>
      </c>
      <c r="B448" s="24" t="s">
        <v>453</v>
      </c>
      <c r="C448" s="2" t="str">
        <f ca="1">IFERROR(__xludf.DUMMYFUNCTION("GOOGLETRANSLATE(B448, ""bn"", ""en"")"),"The Durga Puja Mandapam in Dinajpur was set on fire before the idol was dedicated, destroying the idol completely.")</f>
        <v>The Durga Puja Mandapam in Dinajpur was set on fire before the idol was dedicated, destroying the idol completely.</v>
      </c>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6" x14ac:dyDescent="0.3">
      <c r="A449" s="18" t="s">
        <v>8</v>
      </c>
      <c r="B449" s="25" t="s">
        <v>454</v>
      </c>
      <c r="C449" s="2" t="str">
        <f ca="1">IFERROR(__xludf.DUMMYFUNCTION("GOOGLETRANSLATE(B449, ""bn"", ""en"")"),"Devotees were ambushed and molested while performing religious rituals on the balcony of Vasudev temple in Biyanibazar, Sylhet on Monday, May 30. 10 devotees were injured in the incident.")</f>
        <v>Devotees were ambushed and molested while performing religious rituals on the balcony of Vasudev temple in Biyanibazar, Sylhet on Monday, May 30. 10 devotees were injured in the incident.</v>
      </c>
      <c r="D449" s="2"/>
      <c r="E449" s="2"/>
      <c r="F449" s="2"/>
      <c r="G449" s="2"/>
      <c r="H449" s="3"/>
      <c r="I449" s="3"/>
      <c r="J449" s="3"/>
      <c r="K449" s="3"/>
      <c r="L449" s="3"/>
      <c r="M449" s="3"/>
      <c r="N449" s="3"/>
      <c r="O449" s="3"/>
      <c r="P449" s="3"/>
      <c r="Q449" s="3"/>
      <c r="R449" s="3"/>
      <c r="S449" s="3"/>
      <c r="T449" s="3"/>
      <c r="U449" s="3"/>
      <c r="V449" s="3"/>
      <c r="W449" s="3"/>
      <c r="X449" s="3"/>
      <c r="Y449" s="3"/>
      <c r="Z449" s="3"/>
    </row>
    <row r="450" spans="1:26" ht="15.6" x14ac:dyDescent="0.3">
      <c r="A450" s="18" t="s">
        <v>3</v>
      </c>
      <c r="B450" s="25" t="s">
        <v>455</v>
      </c>
      <c r="C450" s="2" t="str">
        <f ca="1">IFERROR(__xludf.DUMMYFUNCTION("GOOGLETRANSLATE(B450, ""bn"", ""en"")"),"Religion is its faith and belief among people of all castes, classes and professions. From that belief he observes and follows religion, observes religious rituals.")</f>
        <v>Religion is its faith and belief among people of all castes, classes and professions. From that belief he observes and follows religion, observes religious rituals.</v>
      </c>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6" x14ac:dyDescent="0.3">
      <c r="A451" s="18" t="s">
        <v>23</v>
      </c>
      <c r="B451" s="24" t="s">
        <v>456</v>
      </c>
      <c r="C451" s="2" t="str">
        <f ca="1">IFERROR(__xludf.DUMMYFUNCTION("GOOGLETRANSLATE(B451, ""bn"", ""en"")"),"Some members of the Buddhist community make disparaging remarks against other religions which cause social unrest.")</f>
        <v>Some members of the Buddhist community make disparaging remarks against other religions which cause social unrest.</v>
      </c>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6" x14ac:dyDescent="0.3">
      <c r="A452" s="19" t="s">
        <v>8</v>
      </c>
      <c r="B452" s="26" t="s">
        <v>457</v>
      </c>
      <c r="C452" s="2" t="str">
        <f ca="1">IFERROR(__xludf.DUMMYFUNCTION("GOOGLETRANSLATE(B452, ""bn"", ""en"")"),"The Taliban have forgiven, but persecution continues against Hindu scholars in [Bangladesh's Kashimpur] region who fled their homes.")</f>
        <v>The Taliban have forgiven, but persecution continues against Hindu scholars in [Bangladesh's Kashimpur] region who fled their homes.</v>
      </c>
      <c r="D452" s="7"/>
      <c r="E452" s="7"/>
      <c r="F452" s="7"/>
      <c r="G452" s="7"/>
      <c r="H452" s="7"/>
      <c r="I452" s="7"/>
      <c r="J452" s="7"/>
      <c r="K452" s="7"/>
      <c r="L452" s="5"/>
      <c r="M452" s="5"/>
      <c r="N452" s="5"/>
      <c r="O452" s="5"/>
      <c r="P452" s="5"/>
      <c r="Q452" s="5"/>
      <c r="R452" s="5"/>
      <c r="S452" s="5"/>
      <c r="T452" s="5"/>
      <c r="U452" s="5"/>
      <c r="V452" s="5"/>
      <c r="W452" s="5"/>
      <c r="X452" s="5"/>
      <c r="Y452" s="5"/>
      <c r="Z452" s="5"/>
    </row>
    <row r="453" spans="1:26" ht="15.6" x14ac:dyDescent="0.3">
      <c r="A453" s="18" t="s">
        <v>5</v>
      </c>
      <c r="B453" s="25" t="s">
        <v>458</v>
      </c>
      <c r="C453" s="2" t="str">
        <f ca="1">IFERROR(__xludf.DUMMYFUNCTION("GOOGLETRANSLATE(B453, ""bn"", ""en"")"),"A number of Muslim students refused to participate in a minute's silence held across the country to commemorate the victims of the 2015 Charlie Hebdo massacre.")</f>
        <v>A number of Muslim students refused to participate in a minute's silence held across the country to commemorate the victims of the 2015 Charlie Hebdo massacre.</v>
      </c>
      <c r="D453" s="2"/>
      <c r="E453" s="2"/>
      <c r="F453" s="2"/>
      <c r="G453" s="2"/>
      <c r="H453" s="3"/>
      <c r="I453" s="3"/>
      <c r="J453" s="3"/>
      <c r="K453" s="3"/>
      <c r="L453" s="3"/>
      <c r="M453" s="3"/>
      <c r="N453" s="3"/>
      <c r="O453" s="3"/>
      <c r="P453" s="3"/>
      <c r="Q453" s="3"/>
      <c r="R453" s="3"/>
      <c r="S453" s="3"/>
      <c r="T453" s="3"/>
      <c r="U453" s="3"/>
      <c r="V453" s="3"/>
      <c r="W453" s="3"/>
      <c r="X453" s="3"/>
      <c r="Y453" s="3"/>
      <c r="Z453" s="3"/>
    </row>
    <row r="454" spans="1:26" ht="15.6" x14ac:dyDescent="0.3">
      <c r="A454" s="19" t="s">
        <v>23</v>
      </c>
      <c r="B454" s="26" t="s">
        <v>459</v>
      </c>
      <c r="C454" s="2" t="str">
        <f ca="1">IFERROR(__xludf.DUMMYFUNCTION("GOOGLETRANSLATE(B454, ""bn"", ""en"")"),"A religious ceremony in Chuadanga was stopped after youths taunted women nuns about their clothing.")</f>
        <v>A religious ceremony in Chuadanga was stopped after youths taunted women nuns about their clothing.</v>
      </c>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6" x14ac:dyDescent="0.3">
      <c r="A455" s="18" t="s">
        <v>23</v>
      </c>
      <c r="B455" s="25" t="s">
        <v>460</v>
      </c>
      <c r="C455" s="2" t="str">
        <f ca="1">IFERROR(__xludf.DUMMYFUNCTION("GOOGLETRANSLATE(B455, ""bn"", ""en"")"),"Since Partition or just before, foreign rulers have injected this poison into Hindu Muslims for their own benefit.")</f>
        <v>Since Partition or just before, foreign rulers have injected this poison into Hindu Muslims for their own benefit.</v>
      </c>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6" x14ac:dyDescent="0.3">
      <c r="A456" s="18" t="s">
        <v>5</v>
      </c>
      <c r="B456" s="27" t="s">
        <v>461</v>
      </c>
      <c r="C456" s="2" t="str">
        <f ca="1">IFERROR(__xludf.DUMMYFUNCTION("GOOGLETRANSLATE(B456, ""bn"", ""en"")"),"The number of people killed and property destroyed in the explosion of violence between Hindus and Muslims on August 16 of that year is unprecedented in the past.")</f>
        <v>The number of people killed and property destroyed in the explosion of violence between Hindus and Muslims on August 16 of that year is unprecedented in the past.</v>
      </c>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6" x14ac:dyDescent="0.3">
      <c r="A457" s="18" t="s">
        <v>3</v>
      </c>
      <c r="B457" s="25" t="s">
        <v>462</v>
      </c>
      <c r="C457" s="2" t="str">
        <f ca="1">IFERROR(__xludf.DUMMYFUNCTION("GOOGLETRANSLATE(B457, ""bn"", ""en"")"),"Islam is submission to the one and only Allah.")</f>
        <v>Islam is submission to the one and only Allah.</v>
      </c>
      <c r="D457" s="2"/>
      <c r="E457" s="2"/>
      <c r="F457" s="2"/>
      <c r="G457" s="2"/>
      <c r="H457" s="3"/>
      <c r="I457" s="3"/>
      <c r="J457" s="3"/>
      <c r="K457" s="3"/>
      <c r="L457" s="3"/>
      <c r="M457" s="3"/>
      <c r="N457" s="3"/>
      <c r="O457" s="3"/>
      <c r="P457" s="3"/>
      <c r="Q457" s="3"/>
      <c r="R457" s="3"/>
      <c r="S457" s="3"/>
      <c r="T457" s="3"/>
      <c r="U457" s="3"/>
      <c r="V457" s="3"/>
      <c r="W457" s="3"/>
      <c r="X457" s="3"/>
      <c r="Y457" s="3"/>
      <c r="Z457" s="3"/>
    </row>
    <row r="458" spans="1:26" ht="15.6" x14ac:dyDescent="0.3">
      <c r="A458" s="19" t="s">
        <v>23</v>
      </c>
      <c r="B458" s="26" t="s">
        <v>463</v>
      </c>
      <c r="C458" s="2" t="str">
        <f ca="1">IFERROR(__xludf.DUMMYFUNCTION("GOOGLETRANSLATE(B458, ""bn"", ""en"")"),"Allah Ta'ala has announced severe suffering and severe punishment in this world and the hereafter for those who disobey the Qur'an.")</f>
        <v>Allah Ta'ala has announced severe suffering and severe punishment in this world and the hereafter for those who disobey the Qur'an.</v>
      </c>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6" x14ac:dyDescent="0.3">
      <c r="A459" s="18" t="s">
        <v>5</v>
      </c>
      <c r="B459" s="24" t="s">
        <v>464</v>
      </c>
      <c r="C459" s="2" t="str">
        <f ca="1">IFERROR(__xludf.DUMMYFUNCTION("GOOGLETRANSLATE(B459, ""bn"", ""en"")"),"At least 28 people were killed and temples and mosques damaged in Brahmanbaria Hindu-Muslim clashes.")</f>
        <v>At least 28 people were killed and temples and mosques damaged in Brahmanbaria Hindu-Muslim clashes.</v>
      </c>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6" x14ac:dyDescent="0.3">
      <c r="A460" s="18" t="s">
        <v>5</v>
      </c>
      <c r="B460" s="24" t="s">
        <v>465</v>
      </c>
      <c r="C460" s="2" t="str">
        <f ca="1">IFERROR(__xludf.DUMMYFUNCTION("GOOGLETRANSLATE(B460, ""bn"", ""en"")"),"In January 2022, a religious procession erupted in violence, killing 48 people and leaving many homeless.")</f>
        <v>In January 2022, a religious procession erupted in violence, killing 48 people and leaving many homeless.</v>
      </c>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6" x14ac:dyDescent="0.3">
      <c r="A461" s="18" t="s">
        <v>5</v>
      </c>
      <c r="B461" s="24" t="s">
        <v>466</v>
      </c>
      <c r="C461" s="2" t="str">
        <f ca="1">IFERROR(__xludf.DUMMYFUNCTION("GOOGLETRANSLATE(B461, ""bn"", ""en"")"),"On 30 October 2016, the Hindu community was attacked in Nasirnagar, Brahmanbaria, on charges of blasphemy on Facebook. 19 temples and about 300 houses were vandalized, hundreds of people were injured, at least 25 were killed.")</f>
        <v>On 30 October 2016, the Hindu community was attacked in Nasirnagar, Brahmanbaria, on charges of blasphemy on Facebook. 19 temples and about 300 houses were vandalized, hundreds of people were injured, at least 25 were killed.</v>
      </c>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6" x14ac:dyDescent="0.3">
      <c r="A462" s="18" t="s">
        <v>5</v>
      </c>
      <c r="B462" s="24" t="s">
        <v>467</v>
      </c>
      <c r="C462" s="2" t="str">
        <f ca="1">IFERROR(__xludf.DUMMYFUNCTION("GOOGLETRANSLATE(B462, ""bn"", ""en"")"),"At least 38 people were killed in the vandalism and arson of minority Hindu residences and holy places in Magura.")</f>
        <v>At least 38 people were killed in the vandalism and arson of minority Hindu residences and holy places in Magura.</v>
      </c>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6" x14ac:dyDescent="0.3">
      <c r="A463" s="18" t="s">
        <v>5</v>
      </c>
      <c r="B463" s="25" t="s">
        <v>468</v>
      </c>
      <c r="C463" s="2" t="str">
        <f ca="1">IFERROR(__xludf.DUMMYFUNCTION("GOOGLETRANSLATE(B463, ""bn"", ""en"")"),"A clash broke out between some Hindu fishermen and Muslims while fishing in Feni river. One died and two others were seriously injured.")</f>
        <v>A clash broke out between some Hindu fishermen and Muslims while fishing in Feni river. One died and two others were seriously injured.</v>
      </c>
      <c r="D463" s="2"/>
      <c r="E463" s="2"/>
      <c r="F463" s="2"/>
      <c r="G463" s="2"/>
      <c r="H463" s="5"/>
      <c r="I463" s="5"/>
      <c r="J463" s="5"/>
      <c r="K463" s="5"/>
      <c r="L463" s="5"/>
      <c r="M463" s="5"/>
      <c r="N463" s="5"/>
      <c r="O463" s="5"/>
      <c r="P463" s="5"/>
      <c r="Q463" s="5"/>
      <c r="R463" s="5"/>
      <c r="S463" s="5"/>
      <c r="T463" s="5"/>
      <c r="U463" s="5"/>
      <c r="V463" s="5"/>
      <c r="W463" s="5"/>
      <c r="X463" s="5"/>
      <c r="Y463" s="5"/>
      <c r="Z463" s="5"/>
    </row>
    <row r="464" spans="1:26" ht="15.6" x14ac:dyDescent="0.3">
      <c r="A464" s="18" t="s">
        <v>8</v>
      </c>
      <c r="B464" s="25" t="s">
        <v>469</v>
      </c>
      <c r="C464" s="2" t="str">
        <f ca="1">IFERROR(__xludf.DUMMYFUNCTION("GOOGLETRANSLATE(B464, ""bn"", ""en"")"),"Radical terrorists continue to indiscriminately shed blood in the name of religion around the world, even in concert attacks, proving that no one is safe.")</f>
        <v>Radical terrorists continue to indiscriminately shed blood in the name of religion around the world, even in concert attacks, proving that no one is safe.</v>
      </c>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6" x14ac:dyDescent="0.3">
      <c r="A465" s="18" t="s">
        <v>3</v>
      </c>
      <c r="B465" s="25" t="s">
        <v>470</v>
      </c>
      <c r="C465" s="2" t="str">
        <f ca="1">IFERROR(__xludf.DUMMYFUNCTION("GOOGLETRANSLATE(B465, ""bn"", ""en"")"),"7 times can never be read instead of 5 times, there are rules of worship, it is nothing but stupidity to expect deeds by doing something outside the rules Sunnah.")</f>
        <v>7 times can never be read instead of 5 times, there are rules of worship, it is nothing but stupidity to expect deeds by doing something outside the rules Sunnah.</v>
      </c>
      <c r="D465" s="2"/>
      <c r="E465" s="2"/>
      <c r="F465" s="2"/>
      <c r="G465" s="2"/>
      <c r="H465" s="3"/>
      <c r="I465" s="3"/>
      <c r="J465" s="3"/>
      <c r="K465" s="3"/>
      <c r="L465" s="3"/>
      <c r="M465" s="3"/>
      <c r="N465" s="3"/>
      <c r="O465" s="3"/>
      <c r="P465" s="3"/>
      <c r="Q465" s="3"/>
      <c r="R465" s="3"/>
      <c r="S465" s="3"/>
      <c r="T465" s="3"/>
      <c r="U465" s="3"/>
      <c r="V465" s="3"/>
      <c r="W465" s="3"/>
      <c r="X465" s="3"/>
      <c r="Y465" s="3"/>
      <c r="Z465" s="3"/>
    </row>
    <row r="466" spans="1:26" ht="15.6" x14ac:dyDescent="0.3">
      <c r="A466" s="18" t="s">
        <v>5</v>
      </c>
      <c r="B466" s="25" t="s">
        <v>471</v>
      </c>
      <c r="C466" s="2" t="str">
        <f ca="1">IFERROR(__xludf.DUMMYFUNCTION("GOOGLETRANSLATE(B466, ""bn"", ""en"")"),"Hindus and tribals were massacred, raped and forced to commit suicide. Many, including the Garo community, left the country.")</f>
        <v>Hindus and tribals were massacred, raped and forced to commit suicide. Many, including the Garo community, left the country.</v>
      </c>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6" x14ac:dyDescent="0.3">
      <c r="A467" s="18" t="s">
        <v>8</v>
      </c>
      <c r="B467" s="25" t="s">
        <v>472</v>
      </c>
      <c r="C467" s="2" t="str">
        <f ca="1">IFERROR(__xludf.DUMMYFUNCTION("GOOGLETRANSLATE(B467, ""bn"", ""en"")"),"The village surrounding the Ramana Kali temple was an ancient Hindu village at the heart of the race course. About 2000 Hindu men, women and children lived in this village. Even during Dhaka's worst Hindu-Muslim riots, the village remained unscathed.")</f>
        <v>The village surrounding the Ramana Kali temple was an ancient Hindu village at the heart of the race course. About 2000 Hindu men, women and children lived in this village. Even during Dhaka's worst Hindu-Muslim riots, the village remained unscathed.</v>
      </c>
      <c r="D467" s="6"/>
      <c r="E467" s="6"/>
      <c r="F467" s="6"/>
      <c r="G467" s="6"/>
      <c r="H467" s="3"/>
      <c r="I467" s="3"/>
      <c r="J467" s="3"/>
      <c r="K467" s="3"/>
      <c r="L467" s="3"/>
      <c r="M467" s="3"/>
      <c r="N467" s="3"/>
      <c r="O467" s="3"/>
      <c r="P467" s="3"/>
      <c r="Q467" s="3"/>
      <c r="R467" s="3"/>
      <c r="S467" s="3"/>
      <c r="T467" s="3"/>
      <c r="U467" s="3"/>
      <c r="V467" s="3"/>
      <c r="W467" s="3"/>
      <c r="X467" s="3"/>
      <c r="Y467" s="3"/>
      <c r="Z467" s="3"/>
    </row>
    <row r="468" spans="1:26" ht="15.6" x14ac:dyDescent="0.3">
      <c r="A468" s="18" t="s">
        <v>23</v>
      </c>
      <c r="B468" s="24" t="s">
        <v>473</v>
      </c>
      <c r="C468" s="2" t="str">
        <f ca="1">IFERROR(__xludf.DUMMYFUNCTION("GOOGLETRANSLATE(B468, ""bn"", ""en"")"),"Some members of the Buddhist community make disparaging remarks about other religions which creates unrest in the society.")</f>
        <v>Some members of the Buddhist community make disparaging remarks about other religions which creates unrest in the society.</v>
      </c>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6" x14ac:dyDescent="0.3">
      <c r="A469" s="18" t="s">
        <v>5</v>
      </c>
      <c r="B469" s="24" t="s">
        <v>474</v>
      </c>
      <c r="C469" s="2" t="str">
        <f ca="1">IFERROR(__xludf.DUMMYFUNCTION("GOOGLETRANSLATE(B469, ""bn"", ""en"")"),"In January 2021, a group of religious fanatics killed a journalist and 11 people were killed during protests.")</f>
        <v>In January 2021, a group of religious fanatics killed a journalist and 11 people were killed during protests.</v>
      </c>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6" x14ac:dyDescent="0.3">
      <c r="A470" s="19" t="s">
        <v>5</v>
      </c>
      <c r="B470" s="26" t="s">
        <v>475</v>
      </c>
      <c r="C470" s="2" t="str">
        <f ca="1">IFERROR(__xludf.DUMMYFUNCTION("GOOGLETRANSLATE(B470, ""bn"", ""en"")"),"On the sixth floor, Hindu houses were set on fire and 5 dead bodies were found near the coconut grove.")</f>
        <v>On the sixth floor, Hindu houses were set on fire and 5 dead bodies were found near the coconut grove.</v>
      </c>
      <c r="D470" s="7"/>
      <c r="E470" s="7"/>
      <c r="F470" s="7"/>
      <c r="G470" s="5"/>
      <c r="H470" s="5"/>
      <c r="I470" s="5"/>
      <c r="J470" s="5"/>
      <c r="K470" s="5"/>
      <c r="L470" s="5"/>
      <c r="M470" s="5"/>
      <c r="N470" s="5"/>
      <c r="O470" s="5"/>
      <c r="P470" s="5"/>
      <c r="Q470" s="5"/>
      <c r="R470" s="5"/>
      <c r="S470" s="5"/>
      <c r="T470" s="5"/>
      <c r="U470" s="5"/>
      <c r="V470" s="5"/>
      <c r="W470" s="5"/>
      <c r="X470" s="5"/>
      <c r="Y470" s="5"/>
      <c r="Z470" s="5"/>
    </row>
    <row r="471" spans="1:26" ht="15.6" x14ac:dyDescent="0.3">
      <c r="A471" s="18" t="s">
        <v>8</v>
      </c>
      <c r="B471" s="25" t="s">
        <v>476</v>
      </c>
      <c r="C471" s="2" t="str">
        <f ca="1">IFERROR(__xludf.DUMMYFUNCTION("GOOGLETRANSLATE(B471, ""bn"", ""en"")"),"In a municipal area of ​​Netrakona, three Hindu temples were vandalized within just one kilometer, an alarming sign of religious violence against minorities.")</f>
        <v>In a municipal area of ​​Netrakona, three Hindu temples were vandalized within just one kilometer, an alarming sign of religious violence against minorities.</v>
      </c>
      <c r="D471" s="2"/>
      <c r="E471" s="2"/>
      <c r="F471" s="2"/>
      <c r="G471" s="2"/>
      <c r="H471" s="5"/>
      <c r="I471" s="5"/>
      <c r="J471" s="5"/>
      <c r="K471" s="5"/>
      <c r="L471" s="5"/>
      <c r="M471" s="5"/>
      <c r="N471" s="5"/>
      <c r="O471" s="5"/>
      <c r="P471" s="5"/>
      <c r="Q471" s="5"/>
      <c r="R471" s="5"/>
      <c r="S471" s="5"/>
      <c r="T471" s="5"/>
      <c r="U471" s="5"/>
      <c r="V471" s="5"/>
      <c r="W471" s="5"/>
      <c r="X471" s="5"/>
      <c r="Y471" s="5"/>
      <c r="Z471" s="5"/>
    </row>
    <row r="472" spans="1:26" ht="15.6" x14ac:dyDescent="0.3">
      <c r="A472" s="18" t="s">
        <v>3</v>
      </c>
      <c r="B472" s="24" t="s">
        <v>477</v>
      </c>
      <c r="C472" s="2" t="str">
        <f ca="1">IFERROR(__xludf.DUMMYFUNCTION("GOOGLETRANSLATE(B472, ""bn"", ""en"")"),"When lawlessness increases in society, it is the religious sense that brings people back to the right path.")</f>
        <v>When lawlessness increases in society, it is the religious sense that brings people back to the right path.</v>
      </c>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6" x14ac:dyDescent="0.3">
      <c r="A473" s="19" t="s">
        <v>3</v>
      </c>
      <c r="B473" s="26" t="s">
        <v>478</v>
      </c>
      <c r="C473" s="2" t="str">
        <f ca="1">IFERROR(__xludf.DUMMYFUNCTION("GOOGLETRANSLATE(B473, ""bn"", ""en"")"),"Not only in Islam, but also in Christianity and traditional religions, suicide is called a great sin. The religious leaders said that life is God's gift, so people have no right to take it.")</f>
        <v>Not only in Islam, but also in Christianity and traditional religions, suicide is called a great sin. The religious leaders said that life is God's gift, so people have no right to take it.</v>
      </c>
      <c r="D473" s="7"/>
      <c r="E473" s="7"/>
      <c r="F473" s="7"/>
      <c r="G473" s="7"/>
      <c r="H473" s="7"/>
      <c r="I473" s="7"/>
      <c r="J473" s="7"/>
      <c r="K473" s="5"/>
      <c r="L473" s="5"/>
      <c r="M473" s="5"/>
      <c r="N473" s="5"/>
      <c r="O473" s="5"/>
      <c r="P473" s="5"/>
      <c r="Q473" s="5"/>
      <c r="R473" s="5"/>
      <c r="S473" s="5"/>
      <c r="T473" s="5"/>
      <c r="U473" s="5"/>
      <c r="V473" s="5"/>
      <c r="W473" s="5"/>
      <c r="X473" s="5"/>
      <c r="Y473" s="5"/>
      <c r="Z473" s="5"/>
    </row>
    <row r="474" spans="1:26" ht="15.6" x14ac:dyDescent="0.3">
      <c r="A474" s="18" t="s">
        <v>23</v>
      </c>
      <c r="B474" s="24" t="s">
        <v>479</v>
      </c>
      <c r="C474" s="2" t="str">
        <f ca="1">IFERROR(__xludf.DUMMYFUNCTION("GOOGLETRANSLATE(B474, ""bn"", ""en"")"),"Some Buddhists make disparaging comments about followers of other religions, threatening religious tolerance.")</f>
        <v>Some Buddhists make disparaging comments about followers of other religions, threatening religious tolerance.</v>
      </c>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6" x14ac:dyDescent="0.3">
      <c r="A475" s="19" t="s">
        <v>3</v>
      </c>
      <c r="B475" s="26" t="s">
        <v>480</v>
      </c>
      <c r="C475" s="2" t="str">
        <f ca="1">IFERROR(__xludf.DUMMYFUNCTION("GOOGLETRANSLATE(B475, ""bn"", ""en"")"),"Religion is not necessary to be a good person; Honesty, morality, love and self-control are enough.")</f>
        <v>Religion is not necessary to be a good person; Honesty, morality, love and self-control are enough.</v>
      </c>
      <c r="D475" s="7"/>
      <c r="E475" s="7"/>
      <c r="F475" s="5"/>
      <c r="G475" s="5"/>
      <c r="H475" s="5"/>
      <c r="I475" s="5"/>
      <c r="J475" s="5"/>
      <c r="K475" s="5"/>
      <c r="L475" s="5"/>
      <c r="M475" s="5"/>
      <c r="N475" s="5"/>
      <c r="O475" s="5"/>
      <c r="P475" s="5"/>
      <c r="Q475" s="5"/>
      <c r="R475" s="5"/>
      <c r="S475" s="5"/>
      <c r="T475" s="5"/>
      <c r="U475" s="5"/>
      <c r="V475" s="5"/>
      <c r="W475" s="5"/>
      <c r="X475" s="5"/>
      <c r="Y475" s="5"/>
      <c r="Z475" s="5"/>
    </row>
    <row r="476" spans="1:26" ht="15.6" x14ac:dyDescent="0.3">
      <c r="A476" s="18" t="s">
        <v>3</v>
      </c>
      <c r="B476" s="25" t="s">
        <v>481</v>
      </c>
      <c r="C476" s="2" t="str">
        <f ca="1">IFERROR(__xludf.DUMMYFUNCTION("GOOGLETRANSLATE(B476, ""bn"", ""en"")"),"They have proved that there is no religion in the world outside of humanity, no education is better than humanity. A good deed is good for Muslims, good for Christians, good for atheists! ""Good"" doesn't need money to be good, it only needs to be human! "&amp;"ok?")</f>
        <v>They have proved that there is no religion in the world outside of humanity, no education is better than humanity. A good deed is good for Muslims, good for Christians, good for atheists! "Good" doesn't need money to be good, it only needs to be human! ok?</v>
      </c>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6" x14ac:dyDescent="0.3">
      <c r="A477" s="18" t="s">
        <v>8</v>
      </c>
      <c r="B477" s="25" t="s">
        <v>482</v>
      </c>
      <c r="C477" s="2" t="str">
        <f ca="1">IFERROR(__xludf.DUMMYFUNCTION("GOOGLETRANSLATE(B477, ""bn"", ""en"")"),"Fearing religious persecution, Hindu women broke the conch shell and removed the vermilion. Even if someone hides in the temple, the communal attackers bring them out and make them stand in a separate line in front of the temple.")</f>
        <v>Fearing religious persecution, Hindu women broke the conch shell and removed the vermilion. Even if someone hides in the temple, the communal attackers bring them out and make them stand in a separate line in front of the temple.</v>
      </c>
      <c r="D477" s="2"/>
      <c r="E477" s="2"/>
      <c r="F477" s="2"/>
      <c r="G477" s="2"/>
      <c r="H477" s="5"/>
      <c r="I477" s="5"/>
      <c r="J477" s="5"/>
      <c r="K477" s="5"/>
      <c r="L477" s="5"/>
      <c r="M477" s="5"/>
      <c r="N477" s="5"/>
      <c r="O477" s="5"/>
      <c r="P477" s="5"/>
      <c r="Q477" s="5"/>
      <c r="R477" s="5"/>
      <c r="S477" s="5"/>
      <c r="T477" s="5"/>
      <c r="U477" s="5"/>
      <c r="V477" s="5"/>
      <c r="W477" s="5"/>
      <c r="X477" s="5"/>
      <c r="Y477" s="5"/>
      <c r="Z477" s="5"/>
    </row>
    <row r="478" spans="1:26" ht="15.6" x14ac:dyDescent="0.3">
      <c r="A478" s="18" t="s">
        <v>3</v>
      </c>
      <c r="B478" s="25" t="s">
        <v>483</v>
      </c>
      <c r="C478" s="2" t="str">
        <f ca="1">IFERROR(__xludf.DUMMYFUNCTION("GOOGLETRANSLATE(B478, ""bn"", ""en"")"),"On the morning of Mahashivratri i.e. February 26, Wednesday morning wake up early and take bath etc. with water and rice in hand and take vow-puja. The vow you want to take, you have to decide accordingly.")</f>
        <v>On the morning of Mahashivratri i.e. February 26, Wednesday morning wake up early and take bath etc. with water and rice in hand and take vow-puja. The vow you want to take, you have to decide accordingly.</v>
      </c>
      <c r="D478" s="2"/>
      <c r="E478" s="2"/>
      <c r="F478" s="2"/>
      <c r="G478" s="2"/>
      <c r="H478" s="3"/>
      <c r="I478" s="3"/>
      <c r="J478" s="3"/>
      <c r="K478" s="3"/>
      <c r="L478" s="3"/>
      <c r="M478" s="3"/>
      <c r="N478" s="3"/>
      <c r="O478" s="3"/>
      <c r="P478" s="3"/>
      <c r="Q478" s="3"/>
      <c r="R478" s="3"/>
      <c r="S478" s="3"/>
      <c r="T478" s="3"/>
      <c r="U478" s="3"/>
      <c r="V478" s="3"/>
      <c r="W478" s="3"/>
      <c r="X478" s="3"/>
      <c r="Y478" s="3"/>
      <c r="Z478" s="3"/>
    </row>
    <row r="479" spans="1:26" ht="15.6" x14ac:dyDescent="0.3">
      <c r="A479" s="18" t="s">
        <v>5</v>
      </c>
      <c r="B479" s="25" t="s">
        <v>484</v>
      </c>
      <c r="C479" s="2" t="str">
        <f ca="1">IFERROR(__xludf.DUMMYFUNCTION("GOOGLETRANSLATE(B479, ""bn"", ""en"")"),"Somalia's al-Shabaab militants targeted Christian students at Garissa University in Kenya, killing 148.")</f>
        <v>Somalia's al-Shabaab militants targeted Christian students at Garissa University in Kenya, killing 148.</v>
      </c>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6" x14ac:dyDescent="0.3">
      <c r="A480" s="19" t="s">
        <v>8</v>
      </c>
      <c r="B480" s="26" t="s">
        <v>485</v>
      </c>
      <c r="C480" s="2" t="str">
        <f ca="1">IFERROR(__xludf.DUMMYFUNCTION("GOOGLETRANSLATE(B480, ""bn"", ""en"")"),"Rumors of a concerted attack by majority Hindus on minority Muslims centered on a Muslim political program in Bangladesh rekindled earlier religious resentments and created an atmosphere of violence.")</f>
        <v>Rumors of a concerted attack by majority Hindus on minority Muslims centered on a Muslim political program in Bangladesh rekindled earlier religious resentments and created an atmosphere of violence.</v>
      </c>
      <c r="D480" s="7"/>
      <c r="E480" s="7"/>
      <c r="F480" s="7"/>
      <c r="G480" s="7"/>
      <c r="H480" s="7"/>
      <c r="I480" s="7"/>
      <c r="J480" s="7"/>
      <c r="K480" s="7"/>
      <c r="L480" s="7"/>
      <c r="M480" s="7"/>
      <c r="N480" s="7"/>
      <c r="O480" s="7"/>
      <c r="P480" s="7"/>
      <c r="Q480" s="7"/>
      <c r="R480" s="7"/>
      <c r="S480" s="5"/>
      <c r="T480" s="5"/>
      <c r="U480" s="5"/>
      <c r="V480" s="5"/>
      <c r="W480" s="5"/>
      <c r="X480" s="5"/>
      <c r="Y480" s="5"/>
      <c r="Z480" s="5"/>
    </row>
    <row r="481" spans="1:26" ht="15.6" x14ac:dyDescent="0.3">
      <c r="A481" s="18" t="s">
        <v>8</v>
      </c>
      <c r="B481" s="25" t="s">
        <v>486</v>
      </c>
      <c r="C481" s="2" t="str">
        <f ca="1">IFERROR(__xludf.DUMMYFUNCTION("GOOGLETRANSLATE(B481, ""bn"", ""en"")"),"On October 10, when the Durga statue was being transported in a truck in Firingabazar area of ​​Kotwali police station in Chittagong, a grapefruit was thrown from a fruit stand there, as a result of which one of the arms of the Durga statue was broken.")</f>
        <v>On October 10, when the Durga statue was being transported in a truck in Firingabazar area of ​​Kotwali police station in Chittagong, a grapefruit was thrown from a fruit stand there, as a result of which one of the arms of the Durga statue was broken.</v>
      </c>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6" x14ac:dyDescent="0.3">
      <c r="A482" s="18" t="s">
        <v>8</v>
      </c>
      <c r="B482" s="25" t="s">
        <v>487</v>
      </c>
      <c r="C482" s="2" t="str">
        <f ca="1">IFERROR(__xludf.DUMMYFUNCTION("GOOGLETRANSLATE(B482, ""bn"", ""en"")"),"On May 12, 2014, the Supreme Court ordered Chairman Tofail Ahmed of Naikshangchhari Upazila of Bandarban to surrender to the lower court within four weeks in the wake of the attack and vandalism of a Buddhist temple in Ramu, Cox's Bazar.")</f>
        <v>On May 12, 2014, the Supreme Court ordered Chairman Tofail Ahmed of Naikshangchhari Upazila of Bandarban to surrender to the lower court within four weeks in the wake of the attack and vandalism of a Buddhist temple in Ramu, Cox's Bazar.</v>
      </c>
      <c r="D482" s="6"/>
      <c r="E482" s="6"/>
      <c r="F482" s="6"/>
      <c r="G482" s="6"/>
      <c r="H482" s="5"/>
      <c r="I482" s="5"/>
      <c r="J482" s="5"/>
      <c r="K482" s="5"/>
      <c r="L482" s="5"/>
      <c r="M482" s="5"/>
      <c r="N482" s="5"/>
      <c r="O482" s="5"/>
      <c r="P482" s="5"/>
      <c r="Q482" s="5"/>
      <c r="R482" s="5"/>
      <c r="S482" s="5"/>
      <c r="T482" s="5"/>
      <c r="U482" s="5"/>
      <c r="V482" s="5"/>
      <c r="W482" s="5"/>
      <c r="X482" s="5"/>
      <c r="Y482" s="5"/>
      <c r="Z482" s="5"/>
    </row>
    <row r="483" spans="1:26" ht="15.6" x14ac:dyDescent="0.3">
      <c r="A483" s="18" t="s">
        <v>23</v>
      </c>
      <c r="B483" s="24" t="s">
        <v>488</v>
      </c>
      <c r="C483" s="2" t="str">
        <f ca="1">IFERROR(__xludf.DUMMYFUNCTION("GOOGLETRANSLATE(B483, ""bn"", ""en"")"),"Many in the Hindu community are destroying the religious peace with their hostile attitude towards other religions.")</f>
        <v>Many in the Hindu community are destroying the religious peace with their hostile attitude towards other religions.</v>
      </c>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6" x14ac:dyDescent="0.3">
      <c r="A484" s="18" t="s">
        <v>23</v>
      </c>
      <c r="B484" s="25" t="s">
        <v>489</v>
      </c>
      <c r="C484" s="2" t="str">
        <f ca="1">IFERROR(__xludf.DUMMYFUNCTION("GOOGLETRANSLATE(B484, ""bn"", ""en"")"),"He makes bad comments about Roja and makes bad comments about Nabi. Why are you suddenly thinking about Muslims, sister")</f>
        <v>He makes bad comments about Roja and makes bad comments about Nabi. Why are you suddenly thinking about Muslims, sister</v>
      </c>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6" x14ac:dyDescent="0.3">
      <c r="A485" s="19" t="s">
        <v>8</v>
      </c>
      <c r="B485" s="26" t="s">
        <v>490</v>
      </c>
      <c r="C485" s="2" t="str">
        <f ca="1">IFERROR(__xludf.DUMMYFUNCTION("GOOGLETRANSLATE(B485, ""bn"", ""en"")"),"If the government of the country does not take action yet, then I believe that this Hindu-Muslim conflict across the country, including our Pirganj Upazila, may take a more dire form.")</f>
        <v>If the government of the country does not take action yet, then I believe that this Hindu-Muslim conflict across the country, including our Pirganj Upazila, may take a more dire form.</v>
      </c>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6" x14ac:dyDescent="0.3">
      <c r="A486" s="18" t="s">
        <v>8</v>
      </c>
      <c r="B486" s="24" t="s">
        <v>491</v>
      </c>
      <c r="C486" s="2" t="str">
        <f ca="1">IFERROR(__xludf.DUMMYFUNCTION("GOOGLETRANSLATE(B486, ""bn"", ""en"")"),"A church window in Barisal was broken into and religious idols and holy books were torn, seriously injuring the local Christian community.")</f>
        <v>A church window in Barisal was broken into and religious idols and holy books were torn, seriously injuring the local Christian community.</v>
      </c>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6" x14ac:dyDescent="0.3">
      <c r="A487" s="18" t="s">
        <v>5</v>
      </c>
      <c r="B487" s="24" t="s">
        <v>492</v>
      </c>
      <c r="C487" s="2" t="str">
        <f ca="1">IFERROR(__xludf.DUMMYFUNCTION("GOOGLETRANSLATE(B487, ""bn"", ""en"")"),"Extremists set fire to a Buddhist monastery, many scriptures were burned, monks were beaten and driven away. Total killed: 15 people.")</f>
        <v>Extremists set fire to a Buddhist monastery, many scriptures were burned, monks were beaten and driven away. Total killed: 15 people.</v>
      </c>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6" x14ac:dyDescent="0.3">
      <c r="A488" s="18" t="s">
        <v>8</v>
      </c>
      <c r="B488" s="24" t="s">
        <v>493</v>
      </c>
      <c r="C488" s="2" t="str">
        <f ca="1">IFERROR(__xludf.DUMMYFUNCTION("GOOGLETRANSLATE(B488, ""bn"", ""en"")"),"A group of masked men smashed windows and left threatening letters on the car of a mosque imam in Chuadanga.")</f>
        <v>A group of masked men smashed windows and left threatening letters on the car of a mosque imam in Chuadanga.</v>
      </c>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6" x14ac:dyDescent="0.3">
      <c r="A489" s="18" t="s">
        <v>5</v>
      </c>
      <c r="B489" s="24" t="s">
        <v>494</v>
      </c>
      <c r="C489" s="2" t="str">
        <f ca="1">IFERROR(__xludf.DUMMYFUNCTION("GOOGLETRANSLATE(B489, ""bn"", ""en"")"),"In Chuadanga, 45 people lost their lives in clashes over religious disputes. Police tried to control the situation but violence escalated. The government urges everyone to remain calm and responsible. Affected families seek shelter for safety.")</f>
        <v>In Chuadanga, 45 people lost their lives in clashes over religious disputes. Police tried to control the situation but violence escalated. The government urges everyone to remain calm and responsible. Affected families seek shelter for safety.</v>
      </c>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6" x14ac:dyDescent="0.3">
      <c r="A490" s="18" t="s">
        <v>23</v>
      </c>
      <c r="B490" s="25" t="s">
        <v>495</v>
      </c>
      <c r="C490" s="2" t="str">
        <f ca="1">IFERROR(__xludf.DUMMYFUNCTION("GOOGLETRANSLATE(B490, ""bn"", ""en"")"),"Then I realized that it is foolish to keep pace with these secularists. This group is almost entirely itar, petty and just Islamophobic.")</f>
        <v>Then I realized that it is foolish to keep pace with these secularists. This group is almost entirely itar, petty and just Islamophobic.</v>
      </c>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6" x14ac:dyDescent="0.3">
      <c r="A491" s="18" t="s">
        <v>5</v>
      </c>
      <c r="B491" s="25" t="s">
        <v>496</v>
      </c>
      <c r="C491" s="2" t="str">
        <f ca="1">IFERROR(__xludf.DUMMYFUNCTION("GOOGLETRANSLATE(B491, ""bn"", ""en"")"),"Chittagong court APP Saiful Islam Alif was hacked to death by supporters of Sanatani Jagran Jot, which is unprecedented. Nahid Islam said that the terrorists will be arrested soon.")</f>
        <v>Chittagong court APP Saiful Islam Alif was hacked to death by supporters of Sanatani Jagran Jot, which is unprecedented. Nahid Islam said that the terrorists will be arrested soon.</v>
      </c>
      <c r="D491" s="2"/>
      <c r="E491" s="2"/>
      <c r="F491" s="2"/>
      <c r="G491" s="2"/>
      <c r="H491" s="3"/>
      <c r="I491" s="3"/>
      <c r="J491" s="3"/>
      <c r="K491" s="3"/>
      <c r="L491" s="3"/>
      <c r="M491" s="3"/>
      <c r="N491" s="3"/>
      <c r="O491" s="3"/>
      <c r="P491" s="3"/>
      <c r="Q491" s="3"/>
      <c r="R491" s="3"/>
      <c r="S491" s="3"/>
      <c r="T491" s="3"/>
      <c r="U491" s="3"/>
      <c r="V491" s="3"/>
      <c r="W491" s="3"/>
      <c r="X491" s="3"/>
      <c r="Y491" s="3"/>
      <c r="Z491" s="3"/>
    </row>
    <row r="492" spans="1:26" ht="15.6" x14ac:dyDescent="0.3">
      <c r="A492" s="19" t="s">
        <v>3</v>
      </c>
      <c r="B492" s="26" t="s">
        <v>497</v>
      </c>
      <c r="C492" s="2" t="str">
        <f ca="1">IFERROR(__xludf.DUMMYFUNCTION("GOOGLETRANSLATE(B492, ""bn"", ""en"")"),"There is no point in blaming or arguing with Hindus. Those who are doing these things, their fault and enablers are important. Even though the majority of the government is Muslim, this is happening.")</f>
        <v>There is no point in blaming or arguing with Hindus. Those who are doing these things, their fault and enablers are important. Even though the majority of the government is Muslim, this is happening.</v>
      </c>
      <c r="D492" s="7"/>
      <c r="E492" s="7"/>
      <c r="F492" s="7"/>
      <c r="G492" s="7"/>
      <c r="H492" s="7"/>
      <c r="I492" s="7"/>
      <c r="J492" s="7"/>
      <c r="K492" s="7"/>
      <c r="L492" s="7"/>
      <c r="M492" s="5"/>
      <c r="N492" s="5"/>
      <c r="O492" s="5"/>
      <c r="P492" s="5"/>
      <c r="Q492" s="5"/>
      <c r="R492" s="5"/>
      <c r="S492" s="5"/>
      <c r="T492" s="5"/>
      <c r="U492" s="5"/>
      <c r="V492" s="5"/>
      <c r="W492" s="5"/>
      <c r="X492" s="5"/>
      <c r="Y492" s="5"/>
      <c r="Z492" s="5"/>
    </row>
    <row r="493" spans="1:26" ht="15.6" x14ac:dyDescent="0.3">
      <c r="A493" s="19" t="s">
        <v>23</v>
      </c>
      <c r="B493" s="26" t="s">
        <v>498</v>
      </c>
      <c r="C493" s="2" t="str">
        <f ca="1">IFERROR(__xludf.DUMMYFUNCTION("GOOGLETRANSLATE(B493, ""bn"", ""en"")"),"If Saraswati Puja can be celebrated with fanfare in Dhaka University, then where is the problem in Quran recitation?")</f>
        <v>If Saraswati Puja can be celebrated with fanfare in Dhaka University, then where is the problem in Quran recitation?</v>
      </c>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6" x14ac:dyDescent="0.3">
      <c r="A494" s="18" t="s">
        <v>8</v>
      </c>
      <c r="B494" s="25" t="s">
        <v>499</v>
      </c>
      <c r="C494" s="2" t="str">
        <f ca="1">IFERROR(__xludf.DUMMYFUNCTION("GOOGLETRANSLATE(B494, ""bn"", ""en"")"),"They marched with indigenous weapons and vandalized and looted all the houses of this Hindu-dominated village. At this time, about 80 houses were vandalized and looted.")</f>
        <v>They marched with indigenous weapons and vandalized and looted all the houses of this Hindu-dominated village. At this time, about 80 houses were vandalized and looted.</v>
      </c>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6" x14ac:dyDescent="0.3">
      <c r="A495" s="18" t="s">
        <v>3</v>
      </c>
      <c r="B495" s="25" t="s">
        <v>500</v>
      </c>
      <c r="C495" s="2" t="str">
        <f ca="1">IFERROR(__xludf.DUMMYFUNCTION("GOOGLETRANSLATE(B495, ""bn"", ""en"")"),"I myself say with respect to Muslims and the religion of Islam, I do not dare to insult the religion of Islam.")</f>
        <v>I myself say with respect to Muslims and the religion of Islam, I do not dare to insult the religion of Islam.</v>
      </c>
      <c r="D495" s="2"/>
      <c r="E495" s="2"/>
      <c r="F495" s="2"/>
      <c r="G495" s="2"/>
      <c r="H495" s="5"/>
      <c r="I495" s="5"/>
      <c r="J495" s="5"/>
      <c r="K495" s="5"/>
      <c r="L495" s="5"/>
      <c r="M495" s="5"/>
      <c r="N495" s="5"/>
      <c r="O495" s="5"/>
      <c r="P495" s="5"/>
      <c r="Q495" s="5"/>
      <c r="R495" s="5"/>
      <c r="S495" s="5"/>
      <c r="T495" s="5"/>
      <c r="U495" s="5"/>
      <c r="V495" s="5"/>
      <c r="W495" s="5"/>
      <c r="X495" s="5"/>
      <c r="Y495" s="5"/>
      <c r="Z495" s="5"/>
    </row>
    <row r="496" spans="1:26" ht="15.6" x14ac:dyDescent="0.3">
      <c r="A496" s="18" t="s">
        <v>5</v>
      </c>
      <c r="B496" s="25" t="s">
        <v>501</v>
      </c>
      <c r="C496" s="2" t="str">
        <f ca="1">IFERROR(__xludf.DUMMYFUNCTION("GOOGLETRANSLATE(B496, ""bn"", ""en"")"),"A person was beaten to death in Lalmonirhat on charges of insulting religion, the body was set on fire")</f>
        <v>A person was beaten to death in Lalmonirhat on charges of insulting religion, the body was set on fire</v>
      </c>
      <c r="D496" s="2"/>
      <c r="E496" s="2"/>
      <c r="F496" s="2"/>
      <c r="G496" s="2"/>
      <c r="H496" s="5"/>
      <c r="I496" s="5"/>
      <c r="J496" s="5"/>
      <c r="K496" s="5"/>
      <c r="L496" s="5"/>
      <c r="M496" s="5"/>
      <c r="N496" s="5"/>
      <c r="O496" s="5"/>
      <c r="P496" s="5"/>
      <c r="Q496" s="5"/>
      <c r="R496" s="5"/>
      <c r="S496" s="5"/>
      <c r="T496" s="5"/>
      <c r="U496" s="5"/>
      <c r="V496" s="5"/>
      <c r="W496" s="5"/>
      <c r="X496" s="5"/>
      <c r="Y496" s="5"/>
      <c r="Z496" s="5"/>
    </row>
    <row r="497" spans="1:26" ht="15.6" x14ac:dyDescent="0.3">
      <c r="A497" s="18" t="s">
        <v>8</v>
      </c>
      <c r="B497" s="24" t="s">
        <v>502</v>
      </c>
      <c r="C497" s="2" t="str">
        <f ca="1">IFERROR(__xludf.DUMMYFUNCTION("GOOGLETRANSLATE(B497, ""bn"", ""en"")"),"On 17 April 2024, a Shiva temple under construction at Baliadangi in Thakurgaon district was attacked and wooden and stone idols were broken.")</f>
        <v>On 17 April 2024, a Shiva temple under construction at Baliadangi in Thakurgaon district was attacked and wooden and stone idols were broken.</v>
      </c>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6" x14ac:dyDescent="0.3">
      <c r="A498" s="18" t="s">
        <v>3</v>
      </c>
      <c r="B498" s="25" t="s">
        <v>503</v>
      </c>
      <c r="C498" s="2" t="str">
        <f ca="1">IFERROR(__xludf.DUMMYFUNCTION("GOOGLETRANSLATE(B498, ""bn"", ""en"")"),"Hinduism is a path of learning for virtuous and virtuous humanity, which emphasizes compassion for others.")</f>
        <v>Hinduism is a path of learning for virtuous and virtuous humanity, which emphasizes compassion for others.</v>
      </c>
      <c r="D498" s="2"/>
      <c r="E498" s="2"/>
      <c r="F498" s="2"/>
      <c r="G498" s="2"/>
      <c r="H498" s="5"/>
      <c r="I498" s="5"/>
      <c r="J498" s="5"/>
      <c r="K498" s="5"/>
      <c r="L498" s="5"/>
      <c r="M498" s="5"/>
      <c r="N498" s="5"/>
      <c r="O498" s="5"/>
      <c r="P498" s="5"/>
      <c r="Q498" s="5"/>
      <c r="R498" s="5"/>
      <c r="S498" s="5"/>
      <c r="T498" s="5"/>
      <c r="U498" s="5"/>
      <c r="V498" s="5"/>
      <c r="W498" s="5"/>
      <c r="X498" s="5"/>
      <c r="Y498" s="5"/>
      <c r="Z498" s="5"/>
    </row>
    <row r="499" spans="1:26" ht="15.6" x14ac:dyDescent="0.3">
      <c r="A499" s="18" t="s">
        <v>8</v>
      </c>
      <c r="B499" s="25" t="s">
        <v>504</v>
      </c>
      <c r="C499" s="2" t="str">
        <f ca="1">IFERROR(__xludf.DUMMYFUNCTION("GOOGLETRANSLATE(B499, ""bn"", ""en"")"),"The Hindu Buddhist Christian Unity Parishad has complained that Hindu houses have been attacked and set on fire several times in the country due to rumors of blasphemy. But none were prosecuted.")</f>
        <v>The Hindu Buddhist Christian Unity Parishad has complained that Hindu houses have been attacked and set on fire several times in the country due to rumors of blasphemy. But none were prosecuted.</v>
      </c>
      <c r="D499" s="2"/>
      <c r="E499" s="2"/>
      <c r="F499" s="2"/>
      <c r="G499" s="2"/>
      <c r="H499" s="3"/>
      <c r="I499" s="3"/>
      <c r="J499" s="3"/>
      <c r="K499" s="3"/>
      <c r="L499" s="3"/>
      <c r="M499" s="3"/>
      <c r="N499" s="3"/>
      <c r="O499" s="3"/>
      <c r="P499" s="3"/>
      <c r="Q499" s="3"/>
      <c r="R499" s="3"/>
      <c r="S499" s="3"/>
      <c r="T499" s="3"/>
      <c r="U499" s="3"/>
      <c r="V499" s="3"/>
      <c r="W499" s="3"/>
      <c r="X499" s="3"/>
      <c r="Y499" s="3"/>
      <c r="Z499" s="3"/>
    </row>
    <row r="500" spans="1:26" ht="15.6" x14ac:dyDescent="0.3">
      <c r="A500" s="18" t="s">
        <v>23</v>
      </c>
      <c r="B500" s="25" t="s">
        <v>505</v>
      </c>
      <c r="C500" s="2" t="str">
        <f ca="1">IFERROR(__xludf.DUMMYFUNCTION("GOOGLETRANSLATE(B500, ""bn"", ""en"")"),"Those who are making fun of trolls are spreading hatred of Hindus. Muslims like you only use the name of religion, there is no respect.")</f>
        <v>Those who are making fun of trolls are spreading hatred of Hindus. Muslims like you only use the name of religion, there is no respect.</v>
      </c>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6" x14ac:dyDescent="0.3">
      <c r="A501" s="19" t="s">
        <v>23</v>
      </c>
      <c r="B501" s="26" t="s">
        <v>506</v>
      </c>
      <c r="C501" s="2" t="str">
        <f ca="1">IFERROR(__xludf.DUMMYFUNCTION("GOOGLETRANSLATE(B501, ""bn"", ""en"")"),"Quran is our oxygen. We are ready to give our lives for the Qur'an. Those who insulted our Qur'an and burned it will be judged in this world")</f>
        <v>Quran is our oxygen. We are ready to give our lives for the Qur'an. Those who insulted our Qur'an and burned it will be judged in this world</v>
      </c>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6" x14ac:dyDescent="0.3">
      <c r="A502" s="18" t="s">
        <v>3</v>
      </c>
      <c r="B502" s="25" t="s">
        <v>507</v>
      </c>
      <c r="C502" s="2" t="str">
        <f ca="1">IFERROR(__xludf.DUMMYFUNCTION("GOOGLETRANSLATE(B502, ""bn"", ""en"")"),"If the Creator resides in the seven heavens, then why do we pray towards the Kaaba—a religious understanding to strengthen faith.")</f>
        <v>If the Creator resides in the seven heavens, then why do we pray towards the Kaaba—a religious understanding to strengthen faith.</v>
      </c>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6" x14ac:dyDescent="0.3">
      <c r="A503" s="19" t="s">
        <v>23</v>
      </c>
      <c r="B503" s="26" t="s">
        <v>508</v>
      </c>
      <c r="C503" s="2" t="str">
        <f ca="1">IFERROR(__xludf.DUMMYFUNCTION("GOOGLETRANSLATE(B503, ""bn"", ""en"")"),"You said Saints can never be heard playing obscene songs, but show a Durga Puja Mandav in Bangladesh where dancing and singing with obscene girls is not given. So you tell me how true your words are?")</f>
        <v>You said Saints can never be heard playing obscene songs, but show a Durga Puja Mandav in Bangladesh where dancing and singing with obscene girls is not given. So you tell me how true your words are?</v>
      </c>
      <c r="D503" s="7"/>
      <c r="E503" s="5"/>
      <c r="F503" s="5"/>
      <c r="G503" s="5"/>
      <c r="H503" s="5"/>
      <c r="I503" s="5"/>
      <c r="J503" s="5"/>
      <c r="K503" s="5"/>
      <c r="L503" s="5"/>
      <c r="M503" s="5"/>
      <c r="N503" s="5"/>
      <c r="O503" s="5"/>
      <c r="P503" s="5"/>
      <c r="Q503" s="5"/>
      <c r="R503" s="5"/>
      <c r="S503" s="5"/>
      <c r="T503" s="5"/>
      <c r="U503" s="5"/>
      <c r="V503" s="5"/>
      <c r="W503" s="5"/>
      <c r="X503" s="5"/>
      <c r="Y503" s="5"/>
      <c r="Z503" s="5"/>
    </row>
    <row r="504" spans="1:26" ht="15.6" x14ac:dyDescent="0.3">
      <c r="A504" s="18" t="s">
        <v>23</v>
      </c>
      <c r="B504" s="25" t="s">
        <v>509</v>
      </c>
      <c r="C504" s="2" t="str">
        <f ca="1">IFERROR(__xludf.DUMMYFUNCTION("GOOGLETRANSLATE(B504, ""bn"", ""en"")"),"They call themselves Muslims, but it seems that they are descendants of Satan, and they are a disgrace to the name of Islam.")</f>
        <v>They call themselves Muslims, but it seems that they are descendants of Satan, and they are a disgrace to the name of Islam.</v>
      </c>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6" x14ac:dyDescent="0.3">
      <c r="A505" s="18" t="s">
        <v>5</v>
      </c>
      <c r="B505" s="24" t="s">
        <v>510</v>
      </c>
      <c r="C505" s="2" t="str">
        <f ca="1">IFERROR(__xludf.DUMMYFUNCTION("GOOGLETRANSLATE(B505, ""bn"", ""en"")"),"A clash broke out in a village to stop a Hindu religious festival, in which 18 people lost their lives.")</f>
        <v>A clash broke out in a village to stop a Hindu religious festival, in which 18 people lost their lives.</v>
      </c>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6" x14ac:dyDescent="0.3">
      <c r="A506" s="18" t="s">
        <v>23</v>
      </c>
      <c r="B506" s="25" t="s">
        <v>511</v>
      </c>
      <c r="C506" s="2" t="str">
        <f ca="1">IFERROR(__xludf.DUMMYFUNCTION("GOOGLETRANSLATE(B506, ""bn"", ""en"")"),"Anti-fundamentalist movement, a fundamentalist group is using this communalism to destroy the movement against the anti-freedom evil forces and is creating division in the minds of the common people.")</f>
        <v>Anti-fundamentalist movement, a fundamentalist group is using this communalism to destroy the movement against the anti-freedom evil forces and is creating division in the minds of the common people.</v>
      </c>
      <c r="D506" s="2"/>
      <c r="E506" s="2"/>
      <c r="F506" s="2"/>
      <c r="G506" s="2"/>
      <c r="H506" s="3"/>
      <c r="I506" s="3"/>
      <c r="J506" s="3"/>
      <c r="K506" s="3"/>
      <c r="L506" s="3"/>
      <c r="M506" s="3"/>
      <c r="N506" s="3"/>
      <c r="O506" s="3"/>
      <c r="P506" s="3"/>
      <c r="Q506" s="3"/>
      <c r="R506" s="3"/>
      <c r="S506" s="3"/>
      <c r="T506" s="3"/>
      <c r="U506" s="3"/>
      <c r="V506" s="3"/>
      <c r="W506" s="3"/>
      <c r="X506" s="3"/>
      <c r="Y506" s="3"/>
      <c r="Z506" s="3"/>
    </row>
    <row r="507" spans="1:26" ht="15.6" x14ac:dyDescent="0.3">
      <c r="A507" s="18" t="s">
        <v>5</v>
      </c>
      <c r="B507" s="24" t="s">
        <v>512</v>
      </c>
      <c r="C507" s="2" t="str">
        <f ca="1">IFERROR(__xludf.DUMMYFUNCTION("GOOGLETRANSLATE(B507, ""bn"", ""en"")"),"A religious group attacked minorities in Rangamati, killing 29 people.")</f>
        <v>A religious group attacked minorities in Rangamati, killing 29 people.</v>
      </c>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6" x14ac:dyDescent="0.3">
      <c r="A508" s="18" t="s">
        <v>8</v>
      </c>
      <c r="B508" s="25" t="s">
        <v>513</v>
      </c>
      <c r="C508" s="2" t="str">
        <f ca="1">IFERROR(__xludf.DUMMYFUNCTION("GOOGLETRANSLATE(B508, ""bn"", ""en"")"),"In 2020, unidentified persons broke into an Islamic center, injuring students as they fled in panic.")</f>
        <v>In 2020, unidentified persons broke into an Islamic center, injuring students as they fled in panic.</v>
      </c>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6" x14ac:dyDescent="0.3">
      <c r="A509" s="19" t="s">
        <v>8</v>
      </c>
      <c r="B509" s="26" t="s">
        <v>514</v>
      </c>
      <c r="C509" s="2" t="str">
        <f ca="1">IFERROR(__xludf.DUMMYFUNCTION("GOOGLETRANSLATE(B509, ""bn"", ""en"")"),"King Mihirakula (reigned 515 AD) suppressed Buddhism. He even destroyed the existing Buddhist temples. [Note: The White Huns later adopted Rajput Hinduism for the welfare of the Brahmins and became hostile to Buddhism.] And these Buddhist monasteries were"&amp;" destroyed long before Islam entered these regions.")</f>
        <v>King Mihirakula (reigned 515 AD) suppressed Buddhism. He even destroyed the existing Buddhist temples. [Note: The White Huns later adopted Rajput Hinduism for the welfare of the Brahmins and became hostile to Buddhism.] And these Buddhist monasteries were destroyed long before Islam entered these regions.</v>
      </c>
      <c r="D509" s="7"/>
      <c r="E509" s="7"/>
      <c r="F509" s="7"/>
      <c r="G509" s="7"/>
      <c r="H509" s="7"/>
      <c r="I509" s="7"/>
      <c r="J509" s="7"/>
      <c r="K509" s="7"/>
      <c r="L509" s="7"/>
      <c r="M509" s="7"/>
      <c r="N509" s="5"/>
      <c r="O509" s="5"/>
      <c r="P509" s="5"/>
      <c r="Q509" s="5"/>
      <c r="R509" s="5"/>
      <c r="S509" s="5"/>
      <c r="T509" s="5"/>
      <c r="U509" s="5"/>
      <c r="V509" s="5"/>
      <c r="W509" s="5"/>
      <c r="X509" s="5"/>
      <c r="Y509" s="5"/>
      <c r="Z509" s="5"/>
    </row>
    <row r="510" spans="1:26" ht="15.6" x14ac:dyDescent="0.3">
      <c r="A510" s="18" t="s">
        <v>3</v>
      </c>
      <c r="B510" s="24" t="s">
        <v>515</v>
      </c>
      <c r="C510" s="2" t="str">
        <f ca="1">IFERROR(__xludf.DUMMYFUNCTION("GOOGLETRANSLATE(B510, ""bn"", ""en"")"),"Hindus, Muslims, Christians, Buddhists – everyone rejoices on Pahela Baisakh. This festival is a symbol of our social unity.")</f>
        <v>Hindus, Muslims, Christians, Buddhists – everyone rejoices on Pahela Baisakh. This festival is a symbol of our social unity.</v>
      </c>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6" x14ac:dyDescent="0.3">
      <c r="A511" s="19" t="s">
        <v>3</v>
      </c>
      <c r="B511" s="26" t="s">
        <v>516</v>
      </c>
      <c r="C511" s="2" t="str">
        <f ca="1">IFERROR(__xludf.DUMMYFUNCTION("GOOGLETRANSLATE(B511, ""bn"", ""en"")"),"The peaceful coexistence between Hindus and Muslims becomes an exemplary example for the society, where they cooperate with each other in every sphere of life with mutual respect and love.")</f>
        <v>The peaceful coexistence between Hindus and Muslims becomes an exemplary example for the society, where they cooperate with each other in every sphere of life with mutual respect and love.</v>
      </c>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6" x14ac:dyDescent="0.3">
      <c r="A512" s="19" t="s">
        <v>23</v>
      </c>
      <c r="B512" s="26" t="s">
        <v>517</v>
      </c>
      <c r="C512" s="2" t="str">
        <f ca="1">IFERROR(__xludf.DUMMYFUNCTION("GOOGLETRANSLATE(B512, ""bn"", ""en"")"),"One. To gain international legitimacy by showing Bangladesh as a communal state for the ruling unelected ruling group to stay in power illegally for a longer period of time. Two. Across the border is Bangladesh and the Muslim-hating riotous terrorist BJP")</f>
        <v>One. To gain international legitimacy by showing Bangladesh as a communal state for the ruling unelected ruling group to stay in power illegally for a longer period of time. Two. Across the border is Bangladesh and the Muslim-hating riotous terrorist BJP</v>
      </c>
      <c r="D512" s="7"/>
      <c r="E512" s="7"/>
      <c r="F512" s="7"/>
      <c r="G512" s="7"/>
      <c r="H512" s="7"/>
      <c r="I512" s="7"/>
      <c r="J512" s="7"/>
      <c r="K512" s="7"/>
      <c r="L512" s="7"/>
      <c r="M512" s="7"/>
      <c r="N512" s="7"/>
      <c r="O512" s="7"/>
      <c r="P512" s="7"/>
      <c r="Q512" s="7"/>
      <c r="R512" s="7"/>
      <c r="S512" s="7"/>
      <c r="T512" s="7"/>
      <c r="U512" s="7"/>
      <c r="V512" s="7"/>
      <c r="W512" s="7"/>
      <c r="X512" s="5"/>
      <c r="Y512" s="5"/>
      <c r="Z512" s="5"/>
    </row>
    <row r="513" spans="1:26" ht="15.6" x14ac:dyDescent="0.3">
      <c r="A513" s="18" t="s">
        <v>3</v>
      </c>
      <c r="B513" s="25" t="s">
        <v>518</v>
      </c>
      <c r="C513" s="2" t="str">
        <f ca="1">IFERROR(__xludf.DUMMYFUNCTION("GOOGLETRANSLATE(B513, ""bn"", ""en"")"),"I also respect Gautama Buddha of Sanatan Dharma")</f>
        <v>I also respect Gautama Buddha of Sanatan Dharma</v>
      </c>
      <c r="D513" s="2"/>
      <c r="E513" s="2"/>
      <c r="F513" s="2"/>
      <c r="G513" s="2"/>
      <c r="H513" s="3"/>
      <c r="I513" s="3"/>
      <c r="J513" s="3"/>
      <c r="K513" s="3"/>
      <c r="L513" s="3"/>
      <c r="M513" s="3"/>
      <c r="N513" s="3"/>
      <c r="O513" s="3"/>
      <c r="P513" s="3"/>
      <c r="Q513" s="3"/>
      <c r="R513" s="3"/>
      <c r="S513" s="3"/>
      <c r="T513" s="3"/>
      <c r="U513" s="3"/>
      <c r="V513" s="3"/>
      <c r="W513" s="3"/>
      <c r="X513" s="3"/>
      <c r="Y513" s="3"/>
      <c r="Z513" s="3"/>
    </row>
    <row r="514" spans="1:26" ht="15.6" x14ac:dyDescent="0.3">
      <c r="A514" s="18" t="s">
        <v>8</v>
      </c>
      <c r="B514" s="24" t="s">
        <v>519</v>
      </c>
      <c r="C514" s="2" t="str">
        <f ca="1">IFERROR(__xludf.DUMMYFUNCTION("GOOGLETRANSLATE(B514, ""bn"", ""en"")"),"A large religious flag was torn from the roof of a Buddhist monastery in Noakhali, sparking outrage among the local Buddhist community.")</f>
        <v>A large religious flag was torn from the roof of a Buddhist monastery in Noakhali, sparking outrage among the local Buddhist community.</v>
      </c>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6" x14ac:dyDescent="0.3">
      <c r="A515" s="18" t="s">
        <v>8</v>
      </c>
      <c r="B515" s="25" t="s">
        <v>520</v>
      </c>
      <c r="C515" s="2" t="str">
        <f ca="1">IFERROR(__xludf.DUMMYFUNCTION("GOOGLETRANSLATE(B515, ""bn"", ""en"")"),"The disputed site is believed to be the birthplace of Rama by Hindus, and the Babri Masjid was built after the demolition of a Hindu temple.")</f>
        <v>The disputed site is believed to be the birthplace of Rama by Hindus, and the Babri Masjid was built after the demolition of a Hindu temple.</v>
      </c>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6" x14ac:dyDescent="0.3">
      <c r="A516" s="18" t="s">
        <v>23</v>
      </c>
      <c r="B516" s="25" t="s">
        <v>521</v>
      </c>
      <c r="C516" s="2" t="str">
        <f ca="1">IFERROR(__xludf.DUMMYFUNCTION("GOOGLETRANSLATE(B516, ""bn"", ""en"")"),"Insult to the Holy Quran Sharif in Comilla. Very rudely placing it at the feet of the deity.")</f>
        <v>Insult to the Holy Quran Sharif in Comilla. Very rudely placing it at the feet of the deity.</v>
      </c>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6" x14ac:dyDescent="0.3">
      <c r="A517" s="19" t="s">
        <v>23</v>
      </c>
      <c r="B517" s="26" t="s">
        <v>522</v>
      </c>
      <c r="C517" s="2" t="str">
        <f ca="1">IFERROR(__xludf.DUMMYFUNCTION("GOOGLETRANSLATE(B517, ""bn"", ""en"")"),"When those people talk about Muslims and say - ❝all lords are bad❞, the responsibility of that badness is on you, on me, who misbehaved with someone / did something un-Islamic, I thought to myself - who else knows me here? Whose interests are greater for "&amp;"us, my own, or Islam?")</f>
        <v>When those people talk about Muslims and say - ❝all lords are bad❞, the responsibility of that badness is on you, on me, who misbehaved with someone / did something un-Islamic, I thought to myself - who else knows me here? Whose interests are greater for us, my own, or Islam?</v>
      </c>
      <c r="D517" s="7"/>
      <c r="E517" s="7"/>
      <c r="F517" s="7"/>
      <c r="G517" s="7"/>
      <c r="H517" s="7"/>
      <c r="I517" s="7"/>
      <c r="J517" s="7"/>
      <c r="K517" s="7"/>
      <c r="L517" s="7"/>
      <c r="M517" s="7"/>
      <c r="N517" s="5"/>
      <c r="O517" s="5"/>
      <c r="P517" s="5"/>
      <c r="Q517" s="5"/>
      <c r="R517" s="5"/>
      <c r="S517" s="5"/>
      <c r="T517" s="5"/>
      <c r="U517" s="5"/>
      <c r="V517" s="5"/>
      <c r="W517" s="5"/>
      <c r="X517" s="5"/>
      <c r="Y517" s="5"/>
      <c r="Z517" s="5"/>
    </row>
    <row r="518" spans="1:26" ht="15.6" x14ac:dyDescent="0.3">
      <c r="A518" s="19" t="s">
        <v>3</v>
      </c>
      <c r="B518" s="26" t="s">
        <v>523</v>
      </c>
      <c r="C518" s="2" t="str">
        <f ca="1">IFERROR(__xludf.DUMMYFUNCTION("GOOGLETRANSLATE(B518, ""bn"", ""en"")"),"Almighty Allah has named this night as 'Lailatul Qadr'. He revealed a Surah called Qadr. He described the characteristics and virtues of this night.")</f>
        <v>Almighty Allah has named this night as 'Lailatul Qadr'. He revealed a Surah called Qadr. He described the characteristics and virtues of this night.</v>
      </c>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6" x14ac:dyDescent="0.3">
      <c r="A519" s="19" t="s">
        <v>3</v>
      </c>
      <c r="B519" s="26" t="s">
        <v>524</v>
      </c>
      <c r="C519" s="2" t="str">
        <f ca="1">IFERROR(__xludf.DUMMYFUNCTION("GOOGLETRANSLATE(B519, ""bn"", ""en"")"),"According to Islamic belief, Muhammad (pbuh) is a descendant of Ismail and a member of the Hashemite branch of the Quraish dynasty of the Adnani race.")</f>
        <v>According to Islamic belief, Muhammad (pbuh) is a descendant of Ismail and a member of the Hashemite branch of the Quraish dynasty of the Adnani race.</v>
      </c>
      <c r="D519" s="7"/>
      <c r="E519" s="7"/>
      <c r="F519" s="7"/>
      <c r="G519" s="7"/>
      <c r="H519" s="5"/>
      <c r="I519" s="5"/>
      <c r="J519" s="5"/>
      <c r="K519" s="5"/>
      <c r="L519" s="5"/>
      <c r="M519" s="5"/>
      <c r="N519" s="5"/>
      <c r="O519" s="5"/>
      <c r="P519" s="5"/>
      <c r="Q519" s="5"/>
      <c r="R519" s="5"/>
      <c r="S519" s="5"/>
      <c r="T519" s="5"/>
      <c r="U519" s="5"/>
      <c r="V519" s="5"/>
      <c r="W519" s="5"/>
      <c r="X519" s="5"/>
      <c r="Y519" s="5"/>
      <c r="Z519" s="5"/>
    </row>
    <row r="520" spans="1:26" ht="15.6" x14ac:dyDescent="0.3">
      <c r="A520" s="18" t="s">
        <v>5</v>
      </c>
      <c r="B520" s="24" t="s">
        <v>525</v>
      </c>
      <c r="C520" s="2" t="str">
        <f ca="1">IFERROR(__xludf.DUMMYFUNCTION("GOOGLETRANSLATE(B520, ""bn"", ""en"")"),"At least 37 people were killed and many injured in the Hindu-Muslim riots in Sunamganj.")</f>
        <v>At least 37 people were killed and many injured in the Hindu-Muslim riots in Sunamganj.</v>
      </c>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6" x14ac:dyDescent="0.3">
      <c r="A521" s="18" t="s">
        <v>5</v>
      </c>
      <c r="B521" s="24" t="s">
        <v>526</v>
      </c>
      <c r="C521" s="2" t="str">
        <f ca="1">IFERROR(__xludf.DUMMYFUNCTION("GOOGLETRANSLATE(B521, ""bn"", ""en"")"),"Religiously motivated violence breaks out at a university, where students are killed and raped; 39 people were killed.")</f>
        <v>Religiously motivated violence breaks out at a university, where students are killed and raped; 39 people were killed.</v>
      </c>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6" x14ac:dyDescent="0.3">
      <c r="A522" s="18" t="s">
        <v>23</v>
      </c>
      <c r="B522" s="25" t="s">
        <v>527</v>
      </c>
      <c r="C522" s="2" t="str">
        <f ca="1">IFERROR(__xludf.DUMMYFUNCTION("GOOGLETRANSLATE(B522, ""bn"", ""en"")"),"Reports from Jhalkathi said that while the proposal to protect religious values ​​was supported by most countries, some forces opposed it, claiming it was against freedom of expression.")</f>
        <v>Reports from Jhalkathi said that while the proposal to protect religious values ​​was supported by most countries, some forces opposed it, claiming it was against freedom of expression.</v>
      </c>
      <c r="D522" s="6"/>
      <c r="E522" s="2"/>
      <c r="F522" s="2"/>
      <c r="G522" s="2"/>
      <c r="H522" s="5"/>
      <c r="I522" s="5"/>
      <c r="J522" s="5"/>
      <c r="K522" s="5"/>
      <c r="L522" s="5"/>
      <c r="M522" s="5"/>
      <c r="N522" s="5"/>
      <c r="O522" s="5"/>
      <c r="P522" s="5"/>
      <c r="Q522" s="5"/>
      <c r="R522" s="5"/>
      <c r="S522" s="5"/>
      <c r="T522" s="5"/>
      <c r="U522" s="5"/>
      <c r="V522" s="5"/>
      <c r="W522" s="5"/>
      <c r="X522" s="5"/>
      <c r="Y522" s="5"/>
      <c r="Z522" s="5"/>
    </row>
    <row r="523" spans="1:26" ht="15.6" x14ac:dyDescent="0.3">
      <c r="A523" s="18" t="s">
        <v>5</v>
      </c>
      <c r="B523" s="24" t="s">
        <v>528</v>
      </c>
      <c r="C523" s="2" t="str">
        <f ca="1">IFERROR(__xludf.DUMMYFUNCTION("GOOGLETRANSLATE(B523, ""bn"", ""en"")"),"Religious extremists ban girls' sports, inflicting violence on those who play; 13 people were killed.")</f>
        <v>Religious extremists ban girls' sports, inflicting violence on those who play; 13 people were killed.</v>
      </c>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6" x14ac:dyDescent="0.3">
      <c r="A524" s="18" t="s">
        <v>5</v>
      </c>
      <c r="B524" s="24" t="s">
        <v>529</v>
      </c>
      <c r="C524" s="2" t="str">
        <f ca="1">IFERROR(__xludf.DUMMYFUNCTION("GOOGLETRANSLATE(B524, ""bn"", ""en"")"),"After the houses of minority Buddhist families were set on fire for their religious identity, they were forced to take shelter in the forest. Total killed: 17 people.")</f>
        <v>After the houses of minority Buddhist families were set on fire for their religious identity, they were forced to take shelter in the forest. Total killed: 17 people.</v>
      </c>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6" x14ac:dyDescent="0.3">
      <c r="A525" s="18" t="s">
        <v>5</v>
      </c>
      <c r="B525" s="24" t="s">
        <v>530</v>
      </c>
      <c r="C525" s="2" t="str">
        <f ca="1">IFERROR(__xludf.DUMMYFUNCTION("GOOGLETRANSLATE(B525, ""bn"", ""en"")"),"In January 2018, 22 people were killed in clashes between students due to religious tensions.")</f>
        <v>In January 2018, 22 people were killed in clashes between students due to religious tensions.</v>
      </c>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6" x14ac:dyDescent="0.3">
      <c r="A526" s="18" t="s">
        <v>23</v>
      </c>
      <c r="B526" s="24" t="s">
        <v>531</v>
      </c>
      <c r="C526" s="2" t="str">
        <f ca="1">IFERROR(__xludf.DUMMYFUNCTION("GOOGLETRANSLATE(B526, ""bn"", ""en"")"),"Some extremist sects of Christianity try to force conversion which is destroying the peace and harmony of the country.")</f>
        <v>Some extremist sects of Christianity try to force conversion which is destroying the peace and harmony of the country.</v>
      </c>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6" x14ac:dyDescent="0.3">
      <c r="A527" s="18" t="s">
        <v>23</v>
      </c>
      <c r="B527" s="24" t="s">
        <v>532</v>
      </c>
      <c r="C527" s="2" t="str">
        <f ca="1">IFERROR(__xludf.DUMMYFUNCTION("GOOGLETRANSLATE(B527, ""bn"", ""en"")"),"Some extremists in the Muslim community are spreading their religious ideology and increasing hatred and violence against other religions.")</f>
        <v>Some extremists in the Muslim community are spreading their religious ideology and increasing hatred and violence against other religions.</v>
      </c>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6" x14ac:dyDescent="0.3">
      <c r="A528" s="19" t="s">
        <v>23</v>
      </c>
      <c r="B528" s="26" t="s">
        <v>533</v>
      </c>
      <c r="C528" s="2" t="str">
        <f ca="1">IFERROR(__xludf.DUMMYFUNCTION("GOOGLETRANSLATE(B528, ""bn"", ""en"")"),"Puja was not held in universities in 2023? No one said anything then. Now they are saying that if you can do puja, why can't you organize iftar?")</f>
        <v>Puja was not held in universities in 2023? No one said anything then. Now they are saying that if you can do puja, why can't you organize iftar?</v>
      </c>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6" x14ac:dyDescent="0.3">
      <c r="A529" s="18" t="s">
        <v>23</v>
      </c>
      <c r="B529" s="25" t="s">
        <v>534</v>
      </c>
      <c r="C529" s="2" t="str">
        <f ca="1">IFERROR(__xludf.DUMMYFUNCTION("GOOGLETRANSLATE(B529, ""bn"", ""en"")"),"If you marry girls studying in universities who do not believe in Islam, the child will follow the haram path and the mother will remain shameless.")</f>
        <v>If you marry girls studying in universities who do not believe in Islam, the child will follow the haram path and the mother will remain shameless.</v>
      </c>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6" x14ac:dyDescent="0.3">
      <c r="A530" s="18" t="s">
        <v>23</v>
      </c>
      <c r="B530" s="25" t="s">
        <v>535</v>
      </c>
      <c r="C530" s="2" t="str">
        <f ca="1">IFERROR(__xludf.DUMMYFUNCTION("GOOGLETRANSLATE(B530, ""bn"", ""en"")"),"Exemplary punishment is needed for the infidels who have insulted the Qur'an, otherwise they will consider the patience of the Muslims as weakness.")</f>
        <v>Exemplary punishment is needed for the infidels who have insulted the Qur'an, otherwise they will consider the patience of the Muslims as weakness.</v>
      </c>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6" x14ac:dyDescent="0.3">
      <c r="A531" s="19" t="s">
        <v>3</v>
      </c>
      <c r="B531" s="26" t="s">
        <v>536</v>
      </c>
      <c r="C531" s="2" t="str">
        <f ca="1">IFERROR(__xludf.DUMMYFUNCTION("GOOGLETRANSLATE(B531, ""bn"", ""en"")"),"As a result Bengali Hindu refugees again came to Bangladesh. These oppressed Hindu refugees became the national problem of the country. The government arranges for their rehabilitation.")</f>
        <v>As a result Bengali Hindu refugees again came to Bangladesh. These oppressed Hindu refugees became the national problem of the country. The government arranges for their rehabilitation.</v>
      </c>
      <c r="D531" s="7"/>
      <c r="E531" s="7"/>
      <c r="F531" s="7"/>
      <c r="G531" s="7"/>
      <c r="H531" s="7"/>
      <c r="I531" s="7"/>
      <c r="J531" s="7"/>
      <c r="K531" s="7"/>
      <c r="L531" s="7"/>
      <c r="M531" s="5"/>
      <c r="N531" s="5"/>
      <c r="O531" s="5"/>
      <c r="P531" s="5"/>
      <c r="Q531" s="5"/>
      <c r="R531" s="5"/>
      <c r="S531" s="5"/>
      <c r="T531" s="5"/>
      <c r="U531" s="5"/>
      <c r="V531" s="5"/>
      <c r="W531" s="5"/>
      <c r="X531" s="5"/>
      <c r="Y531" s="5"/>
      <c r="Z531" s="5"/>
    </row>
    <row r="532" spans="1:26" ht="15.6" x14ac:dyDescent="0.3">
      <c r="A532" s="18" t="s">
        <v>3</v>
      </c>
      <c r="B532" s="25" t="s">
        <v>537</v>
      </c>
      <c r="C532" s="2" t="str">
        <f ca="1">IFERROR(__xludf.DUMMYFUNCTION("GOOGLETRANSLATE(B532, ""bn"", ""en"")"),"If a man is confused about his gender, it is difficult to do great things for the welfare of humanity, such as war or the preservation of civilization.")</f>
        <v>If a man is confused about his gender, it is difficult to do great things for the welfare of humanity, such as war or the preservation of civilization.</v>
      </c>
      <c r="D532" s="2"/>
      <c r="E532" s="2"/>
      <c r="F532" s="2"/>
      <c r="G532" s="2"/>
      <c r="H532" s="3"/>
      <c r="I532" s="3"/>
      <c r="J532" s="3"/>
      <c r="K532" s="3"/>
      <c r="L532" s="3"/>
      <c r="M532" s="3"/>
      <c r="N532" s="3"/>
      <c r="O532" s="3"/>
      <c r="P532" s="3"/>
      <c r="Q532" s="3"/>
      <c r="R532" s="3"/>
      <c r="S532" s="3"/>
      <c r="T532" s="3"/>
      <c r="U532" s="3"/>
      <c r="V532" s="3"/>
      <c r="W532" s="3"/>
      <c r="X532" s="3"/>
      <c r="Y532" s="3"/>
      <c r="Z532" s="3"/>
    </row>
    <row r="533" spans="1:26" ht="15.6" x14ac:dyDescent="0.3">
      <c r="A533" s="19" t="s">
        <v>23</v>
      </c>
      <c r="B533" s="26" t="s">
        <v>538</v>
      </c>
      <c r="C533" s="2" t="str">
        <f ca="1">IFERROR(__xludf.DUMMYFUNCTION("GOOGLETRANSLATE(B533, ""bn"", ""en"")"),"Some Hindutva brokers have been told to stop brokering and treat Bangladesh as their own country and refrain from trying to incite communal riots.")</f>
        <v>Some Hindutva brokers have been told to stop brokering and treat Bangladesh as their own country and refrain from trying to incite communal riots.</v>
      </c>
      <c r="D533" s="7"/>
      <c r="E533" s="7"/>
      <c r="F533" s="7"/>
      <c r="G533" s="7"/>
      <c r="H533" s="7"/>
      <c r="I533" s="7"/>
      <c r="J533" s="7"/>
      <c r="K533" s="7"/>
      <c r="L533" s="7"/>
      <c r="M533" s="5"/>
      <c r="N533" s="5"/>
      <c r="O533" s="5"/>
      <c r="P533" s="5"/>
      <c r="Q533" s="5"/>
      <c r="R533" s="5"/>
      <c r="S533" s="5"/>
      <c r="T533" s="5"/>
      <c r="U533" s="5"/>
      <c r="V533" s="5"/>
      <c r="W533" s="5"/>
      <c r="X533" s="5"/>
      <c r="Y533" s="5"/>
      <c r="Z533" s="5"/>
    </row>
    <row r="534" spans="1:26" ht="15.6" x14ac:dyDescent="0.3">
      <c r="A534" s="18" t="s">
        <v>3</v>
      </c>
      <c r="B534" s="25" t="s">
        <v>539</v>
      </c>
      <c r="C534" s="2" t="str">
        <f ca="1">IFERROR(__xludf.DUMMYFUNCTION("GOOGLETRANSLATE(B534, ""bn"", ""en"")"),"We pray that Allah, like the prayers of our Prophet, may guide Rahim Khan to the path of Islam, so that the world's war-mongering enemies may not defeat him.")</f>
        <v>We pray that Allah, like the prayers of our Prophet, may guide Rahim Khan to the path of Islam, so that the world's war-mongering enemies may not defeat him.</v>
      </c>
      <c r="D534" s="2"/>
      <c r="E534" s="2"/>
      <c r="F534" s="2"/>
      <c r="G534" s="2"/>
      <c r="H534" s="5"/>
      <c r="I534" s="5"/>
      <c r="J534" s="5"/>
      <c r="K534" s="5"/>
      <c r="L534" s="5"/>
      <c r="M534" s="5"/>
      <c r="N534" s="5"/>
      <c r="O534" s="5"/>
      <c r="P534" s="5"/>
      <c r="Q534" s="5"/>
      <c r="R534" s="5"/>
      <c r="S534" s="5"/>
      <c r="T534" s="5"/>
      <c r="U534" s="5"/>
      <c r="V534" s="5"/>
      <c r="W534" s="5"/>
      <c r="X534" s="5"/>
      <c r="Y534" s="5"/>
      <c r="Z534" s="5"/>
    </row>
    <row r="535" spans="1:26" ht="15.6" x14ac:dyDescent="0.3">
      <c r="A535" s="19" t="s">
        <v>5</v>
      </c>
      <c r="B535" s="26" t="s">
        <v>540</v>
      </c>
      <c r="C535" s="2" t="str">
        <f ca="1">IFERROR(__xludf.DUMMYFUNCTION("GOOGLETRANSLATE(B535, ""bn"", ""en"")"),"The Muladi massacre was a series of massacres of unarmed Hindu and Christian men and old women at the Muladi river port between 17 February and 20 February 1950 by armed mobs with active connivance of the Ansar and the police.")</f>
        <v>The Muladi massacre was a series of massacres of unarmed Hindu and Christian men and old women at the Muladi river port between 17 February and 20 February 1950 by armed mobs with active connivance of the Ansar and the police.</v>
      </c>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6" x14ac:dyDescent="0.3">
      <c r="A536" s="18" t="s">
        <v>5</v>
      </c>
      <c r="B536" s="24" t="s">
        <v>541</v>
      </c>
      <c r="C536" s="2" t="str">
        <f ca="1">IFERROR(__xludf.DUMMYFUNCTION("GOOGLETRANSLATE(B536, ""bn"", ""en"")"),"40 people lost their lives in clashes in Lakshmipur due to religious unrest. As the police failed to control the situation, the government called for calm. Many families seek shelter for safety.")</f>
        <v>40 people lost their lives in clashes in Lakshmipur due to religious unrest. As the police failed to control the situation, the government called for calm. Many families seek shelter for safety.</v>
      </c>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6" x14ac:dyDescent="0.3">
      <c r="A537" s="18" t="s">
        <v>23</v>
      </c>
      <c r="B537" s="25" t="s">
        <v>542</v>
      </c>
      <c r="C537" s="2" t="str">
        <f ca="1">IFERROR(__xludf.DUMMYFUNCTION("GOOGLETRANSLATE(B537, ""bn"", ""en"")"),"Even as non-communal converted citizens, I am surprised to see such a controversial decision. But to say that we Hindus have done that is the reference to pull? Seeing these things really scares and laughs that even after so long people still think like t"&amp;"his in this age.")</f>
        <v>Even as non-communal converted citizens, I am surprised to see such a controversial decision. But to say that we Hindus have done that is the reference to pull? Seeing these things really scares and laughs that even after so long people still think like this in this age.</v>
      </c>
      <c r="D537" s="6"/>
      <c r="E537" s="6"/>
      <c r="F537" s="6"/>
      <c r="G537" s="2"/>
      <c r="H537" s="3"/>
      <c r="I537" s="3"/>
      <c r="J537" s="3"/>
      <c r="K537" s="3"/>
      <c r="L537" s="3"/>
      <c r="M537" s="3"/>
      <c r="N537" s="3"/>
      <c r="O537" s="3"/>
      <c r="P537" s="3"/>
      <c r="Q537" s="3"/>
      <c r="R537" s="3"/>
      <c r="S537" s="3"/>
      <c r="T537" s="3"/>
      <c r="U537" s="3"/>
      <c r="V537" s="3"/>
      <c r="W537" s="3"/>
      <c r="X537" s="3"/>
      <c r="Y537" s="3"/>
      <c r="Z537" s="3"/>
    </row>
    <row r="538" spans="1:26" ht="15.6" x14ac:dyDescent="0.3">
      <c r="A538" s="19" t="s">
        <v>5</v>
      </c>
      <c r="B538" s="26" t="s">
        <v>543</v>
      </c>
      <c r="C538" s="2" t="str">
        <f ca="1">IFERROR(__xludf.DUMMYFUNCTION("GOOGLETRANSLATE(B538, ""bn"", ""en"")"),"In Sarusha village of Huzuripara union under Paba thana of Paba upazila, the minority community was attacked.[7] 1,200 non-Muslims were killed in Dharsa village under Paba thana.[6] 5,000 non-Muslims were killed in Rajshahi district alone.")</f>
        <v>In Sarusha village of Huzuripara union under Paba thana of Paba upazila, the minority community was attacked.[7] 1,200 non-Muslims were killed in Dharsa village under Paba thana.[6] 5,000 non-Muslims were killed in Rajshahi district alone.</v>
      </c>
      <c r="D538" s="7"/>
      <c r="E538" s="7"/>
      <c r="F538" s="5"/>
      <c r="G538" s="5"/>
      <c r="H538" s="5"/>
      <c r="I538" s="5"/>
      <c r="J538" s="5"/>
      <c r="K538" s="5"/>
      <c r="L538" s="5"/>
      <c r="M538" s="5"/>
      <c r="N538" s="5"/>
      <c r="O538" s="5"/>
      <c r="P538" s="5"/>
      <c r="Q538" s="5"/>
      <c r="R538" s="5"/>
      <c r="S538" s="5"/>
      <c r="T538" s="5"/>
      <c r="U538" s="5"/>
      <c r="V538" s="5"/>
      <c r="W538" s="5"/>
      <c r="X538" s="5"/>
      <c r="Y538" s="5"/>
      <c r="Z538" s="5"/>
    </row>
    <row r="539" spans="1:26" ht="15.6" x14ac:dyDescent="0.3">
      <c r="A539" s="18" t="s">
        <v>5</v>
      </c>
      <c r="B539" s="25" t="s">
        <v>544</v>
      </c>
      <c r="C539" s="2" t="str">
        <f ca="1">IFERROR(__xludf.DUMMYFUNCTION("GOOGLETRANSLATE(B539, ""bn"", ""en"")"),"In the early hours of 27 May, the army, in a joint operation, surrounded the villages of Albadar, Razakar. Al Badr killed more than two hundred people, mostly Bengali Hindus, indiscriminately firing.")</f>
        <v>In the early hours of 27 May, the army, in a joint operation, surrounded the villages of Albadar, Razakar. Al Badr killed more than two hundred people, mostly Bengali Hindus, indiscriminately firing.</v>
      </c>
      <c r="D539" s="2"/>
      <c r="E539" s="2"/>
      <c r="F539" s="2"/>
      <c r="G539" s="2"/>
      <c r="H539" s="3"/>
      <c r="I539" s="3"/>
      <c r="J539" s="3"/>
      <c r="K539" s="3"/>
      <c r="L539" s="3"/>
      <c r="M539" s="3"/>
      <c r="N539" s="3"/>
      <c r="O539" s="3"/>
      <c r="P539" s="3"/>
      <c r="Q539" s="3"/>
      <c r="R539" s="3"/>
      <c r="S539" s="3"/>
      <c r="T539" s="3"/>
      <c r="U539" s="3"/>
      <c r="V539" s="3"/>
      <c r="W539" s="3"/>
      <c r="X539" s="3"/>
      <c r="Y539" s="3"/>
      <c r="Z539" s="3"/>
    </row>
    <row r="540" spans="1:26" ht="15.6" x14ac:dyDescent="0.3">
      <c r="A540" s="18" t="s">
        <v>3</v>
      </c>
      <c r="B540" s="25" t="s">
        <v>545</v>
      </c>
      <c r="C540" s="2" t="str">
        <f ca="1">IFERROR(__xludf.DUMMYFUNCTION("GOOGLETRANSLATE(B540, ""bn"", ""en"")"),"In Arabia, followers of Islam respect their religious culture and traditions. The country has certain religious principles to uphold Islamic values, which are part of their culture.")</f>
        <v>In Arabia, followers of Islam respect their religious culture and traditions. The country has certain religious principles to uphold Islamic values, which are part of their culture.</v>
      </c>
      <c r="D540" s="2"/>
      <c r="E540" s="2"/>
      <c r="F540" s="2"/>
      <c r="G540" s="2"/>
      <c r="H540" s="3"/>
      <c r="I540" s="3"/>
      <c r="J540" s="3"/>
      <c r="K540" s="3"/>
      <c r="L540" s="3"/>
      <c r="M540" s="3"/>
      <c r="N540" s="3"/>
      <c r="O540" s="3"/>
      <c r="P540" s="3"/>
      <c r="Q540" s="3"/>
      <c r="R540" s="3"/>
      <c r="S540" s="3"/>
      <c r="T540" s="3"/>
      <c r="U540" s="3"/>
      <c r="V540" s="3"/>
      <c r="W540" s="3"/>
      <c r="X540" s="3"/>
      <c r="Y540" s="3"/>
      <c r="Z540" s="3"/>
    </row>
    <row r="541" spans="1:26" ht="15.6" x14ac:dyDescent="0.3">
      <c r="A541" s="18" t="s">
        <v>5</v>
      </c>
      <c r="B541" s="24" t="s">
        <v>546</v>
      </c>
      <c r="C541" s="2" t="str">
        <f ca="1">IFERROR(__xludf.DUMMYFUNCTION("GOOGLETRANSLATE(B541, ""bn"", ""en"")"),"In August 2020, a young man was killed while trying to save his sister from a religious group; He was killed for aiding the apostasy; 12 people lost their lives.")</f>
        <v>In August 2020, a young man was killed while trying to save his sister from a religious group; He was killed for aiding the apostasy; 12 people lost their lives.</v>
      </c>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6" x14ac:dyDescent="0.3">
      <c r="A542" s="18" t="s">
        <v>5</v>
      </c>
      <c r="B542" s="24" t="s">
        <v>547</v>
      </c>
      <c r="C542" s="2" t="str">
        <f ca="1">IFERROR(__xludf.DUMMYFUNCTION("GOOGLETRANSLATE(B542, ""bn"", ""en"")"),"45 people were killed in Gopalganj clashes due to religious hatred. The police failed to quell the violence, and the government issued a message of peace and patience. Many minority families leave the village due to lack of security.")</f>
        <v>45 people were killed in Gopalganj clashes due to religious hatred. The police failed to quell the violence, and the government issued a message of peace and patience. Many minority families leave the village due to lack of security.</v>
      </c>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6" x14ac:dyDescent="0.3">
      <c r="A543" s="18" t="s">
        <v>3</v>
      </c>
      <c r="B543" s="25" t="s">
        <v>548</v>
      </c>
      <c r="C543" s="2" t="str">
        <f ca="1">IFERROR(__xludf.DUMMYFUNCTION("GOOGLETRANSLATE(B543, ""bn"", ""en"")"),"Obedience to Allah's commands reduces anxiety in life and gives us peace of mind, which helps us in all our activities.")</f>
        <v>Obedience to Allah's commands reduces anxiety in life and gives us peace of mind, which helps us in all our activities.</v>
      </c>
      <c r="D543" s="2"/>
      <c r="E543" s="2"/>
      <c r="F543" s="2"/>
      <c r="G543" s="2"/>
      <c r="H543" s="3"/>
      <c r="I543" s="3"/>
      <c r="J543" s="3"/>
      <c r="K543" s="3"/>
      <c r="L543" s="3"/>
      <c r="M543" s="3"/>
      <c r="N543" s="3"/>
      <c r="O543" s="3"/>
      <c r="P543" s="3"/>
      <c r="Q543" s="3"/>
      <c r="R543" s="3"/>
      <c r="S543" s="3"/>
      <c r="T543" s="3"/>
      <c r="U543" s="3"/>
      <c r="V543" s="3"/>
      <c r="W543" s="3"/>
      <c r="X543" s="3"/>
      <c r="Y543" s="3"/>
      <c r="Z543" s="3"/>
    </row>
    <row r="544" spans="1:26" ht="15.6" x14ac:dyDescent="0.3">
      <c r="A544" s="18" t="s">
        <v>8</v>
      </c>
      <c r="B544" s="25" t="s">
        <v>549</v>
      </c>
      <c r="C544" s="2" t="str">
        <f ca="1">IFERROR(__xludf.DUMMYFUNCTION("GOOGLETRANSLATE(B544, ""bn"", ""en"")"),"Someone conspired to leave the Quran in an unguarded puja mandap and for that some fanatical Islamic fundamentalists started abusing Hindu houses and places of worship indiscriminately in the rest of the country.")</f>
        <v>Someone conspired to leave the Quran in an unguarded puja mandap and for that some fanatical Islamic fundamentalists started abusing Hindu houses and places of worship indiscriminately in the rest of the country.</v>
      </c>
      <c r="D544" s="6"/>
      <c r="E544" s="6"/>
      <c r="F544" s="2"/>
      <c r="G544" s="2"/>
      <c r="H544" s="3"/>
      <c r="I544" s="3"/>
      <c r="J544" s="3"/>
      <c r="K544" s="3"/>
      <c r="L544" s="3"/>
      <c r="M544" s="3"/>
      <c r="N544" s="3"/>
      <c r="O544" s="3"/>
      <c r="P544" s="3"/>
      <c r="Q544" s="3"/>
      <c r="R544" s="3"/>
      <c r="S544" s="3"/>
      <c r="T544" s="3"/>
      <c r="U544" s="3"/>
      <c r="V544" s="3"/>
      <c r="W544" s="3"/>
      <c r="X544" s="3"/>
      <c r="Y544" s="3"/>
      <c r="Z544" s="3"/>
    </row>
    <row r="545" spans="1:26" ht="15.6" x14ac:dyDescent="0.3">
      <c r="A545" s="18" t="s">
        <v>5</v>
      </c>
      <c r="B545" s="25" t="s">
        <v>550</v>
      </c>
      <c r="C545" s="2" t="str">
        <f ca="1">IFERROR(__xludf.DUMMYFUNCTION("GOOGLETRANSLATE(B545, ""bn"", ""en"")"),"Innocents are shot at for being Muslims. Many commit suicide out of fear. Witnesses said 80 to 100 people were killed, with the attackers saying with perverse glee that it was the price of betrayal.")</f>
        <v>Innocents are shot at for being Muslims. Many commit suicide out of fear. Witnesses said 80 to 100 people were killed, with the attackers saying with perverse glee that it was the price of betrayal.</v>
      </c>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6" x14ac:dyDescent="0.3">
      <c r="A546" s="19" t="s">
        <v>23</v>
      </c>
      <c r="B546" s="26" t="s">
        <v>551</v>
      </c>
      <c r="C546" s="2" t="str">
        <f ca="1">IFERROR(__xludf.DUMMYFUNCTION("GOOGLETRANSLATE(B546, ""bn"", ""en"")"),"Despite the reaction of the Islamic parties, the silence of the government is increasing public anger. Bangladesh government should have responded appropriately.")</f>
        <v>Despite the reaction of the Islamic parties, the silence of the government is increasing public anger. Bangladesh government should have responded appropriately.</v>
      </c>
      <c r="D546" s="7"/>
      <c r="E546" s="7"/>
      <c r="F546" s="7"/>
      <c r="G546" s="7"/>
      <c r="H546" s="7"/>
      <c r="I546" s="7"/>
      <c r="J546" s="7"/>
      <c r="K546" s="5"/>
      <c r="L546" s="5"/>
      <c r="M546" s="5"/>
      <c r="N546" s="5"/>
      <c r="O546" s="5"/>
      <c r="P546" s="5"/>
      <c r="Q546" s="5"/>
      <c r="R546" s="5"/>
      <c r="S546" s="5"/>
      <c r="T546" s="5"/>
      <c r="U546" s="5"/>
      <c r="V546" s="5"/>
      <c r="W546" s="5"/>
      <c r="X546" s="5"/>
      <c r="Y546" s="5"/>
      <c r="Z546" s="5"/>
    </row>
    <row r="547" spans="1:26" ht="15.6" x14ac:dyDescent="0.3">
      <c r="A547" s="18" t="s">
        <v>3</v>
      </c>
      <c r="B547" s="25" t="s">
        <v>552</v>
      </c>
      <c r="C547" s="2" t="str">
        <f ca="1">IFERROR(__xludf.DUMMYFUNCTION("GOOGLETRANSLATE(B547, ""bn"", ""en"")"),"A religion that creates differences between people, a religion that creates a sense of superiority in itself, you cannot prove yourself a good person with that religion. You rather stand for the true and the beautiful")</f>
        <v>A religion that creates differences between people, a religion that creates a sense of superiority in itself, you cannot prove yourself a good person with that religion. You rather stand for the true and the beautiful</v>
      </c>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6" x14ac:dyDescent="0.3">
      <c r="A548" s="18" t="s">
        <v>23</v>
      </c>
      <c r="B548" s="25" t="s">
        <v>553</v>
      </c>
      <c r="C548" s="2" t="str">
        <f ca="1">IFERROR(__xludf.DUMMYFUNCTION("GOOGLETRANSLATE(B548, ""bn"", ""en"")"),"It is his business that he does not like Sanatanism, but he has no right to speak by hurting the hearts of so many religious Sanatans, I humbly request him to be brought under the law.")</f>
        <v>It is his business that he does not like Sanatanism, but he has no right to speak by hurting the hearts of so many religious Sanatans, I humbly request him to be brought under the law.</v>
      </c>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6" x14ac:dyDescent="0.3">
      <c r="A549" s="18" t="s">
        <v>5</v>
      </c>
      <c r="B549" s="24" t="s">
        <v>554</v>
      </c>
      <c r="C549" s="2" t="str">
        <f ca="1">IFERROR(__xludf.DUMMYFUNCTION("GOOGLETRANSLATE(B549, ""bn"", ""en"")"),"In February 2019, nine people committed suicide in protest after a group sexually assaulted and killed an orphaned child in a religious scandal against minorities.")</f>
        <v>In February 2019, nine people committed suicide in protest after a group sexually assaulted and killed an orphaned child in a religious scandal against minorities.</v>
      </c>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6" x14ac:dyDescent="0.3">
      <c r="A550" s="18" t="s">
        <v>23</v>
      </c>
      <c r="B550" s="24" t="s">
        <v>555</v>
      </c>
      <c r="C550" s="2" t="str">
        <f ca="1">IFERROR(__xludf.DUMMYFUNCTION("GOOGLETRANSLATE(B550, ""bn"", ""en"")"),"Some people in the Hindu community spread slander and use offensive language against people of other religions due to religious hatred.")</f>
        <v>Some people in the Hindu community spread slander and use offensive language against people of other religions due to religious hatred.</v>
      </c>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6" x14ac:dyDescent="0.3">
      <c r="A551" s="18" t="s">
        <v>23</v>
      </c>
      <c r="B551" s="25" t="s">
        <v>556</v>
      </c>
      <c r="C551" s="2" t="str">
        <f ca="1">IFERROR(__xludf.DUMMYFUNCTION("GOOGLETRANSLATE(B551, ""bn"", ""en"")"),"These lies insult my religion and hurt my existence, they belittle my country.")</f>
        <v>These lies insult my religion and hurt my existence, they belittle my country.</v>
      </c>
      <c r="D551" s="2"/>
      <c r="E551" s="2"/>
      <c r="F551" s="2"/>
      <c r="G551" s="2"/>
      <c r="H551" s="3"/>
      <c r="I551" s="3"/>
      <c r="J551" s="3"/>
      <c r="K551" s="3"/>
      <c r="L551" s="3"/>
      <c r="M551" s="3"/>
      <c r="N551" s="3"/>
      <c r="O551" s="3"/>
      <c r="P551" s="3"/>
      <c r="Q551" s="3"/>
      <c r="R551" s="3"/>
      <c r="S551" s="3"/>
      <c r="T551" s="3"/>
      <c r="U551" s="3"/>
      <c r="V551" s="3"/>
      <c r="W551" s="3"/>
      <c r="X551" s="3"/>
      <c r="Y551" s="3"/>
      <c r="Z551" s="3"/>
    </row>
    <row r="552" spans="1:26" ht="15.6" x14ac:dyDescent="0.3">
      <c r="A552" s="18" t="s">
        <v>23</v>
      </c>
      <c r="B552" s="24" t="s">
        <v>557</v>
      </c>
      <c r="C552" s="2" t="str">
        <f ca="1">IFERROR(__xludf.DUMMYFUNCTION("GOOGLETRANSLATE(B552, ""bn"", ""en"")"),"Some sections of the Hindu community spread religious fanaticism and expressed hatred and contempt for other religions.")</f>
        <v>Some sections of the Hindu community spread religious fanaticism and expressed hatred and contempt for other religions.</v>
      </c>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6" x14ac:dyDescent="0.3">
      <c r="A553" s="18" t="s">
        <v>5</v>
      </c>
      <c r="B553" s="24" t="s">
        <v>558</v>
      </c>
      <c r="C553" s="2" t="str">
        <f ca="1">IFERROR(__xludf.DUMMYFUNCTION("GOOGLETRANSLATE(B553, ""bn"", ""en"")"),"At least 38 people lost their lives in Hindu-Muslim clashes in Chittagong and strict security measures were taken to control the situation.")</f>
        <v>At least 38 people lost their lives in Hindu-Muslim clashes in Chittagong and strict security measures were taken to control the situation.</v>
      </c>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6" x14ac:dyDescent="0.3">
      <c r="A554" s="18" t="s">
        <v>3</v>
      </c>
      <c r="B554" s="25" t="s">
        <v>559</v>
      </c>
      <c r="C554" s="2" t="str">
        <f ca="1">IFERROR(__xludf.DUMMYFUNCTION("GOOGLETRANSLATE(B554, ""bn"", ""en"")"),"No matter how much effort is made to suppress Islam, it cannot be suppressed. As much as the Iftar has been prevented in different places, it has been organized in a bigger way the next time. InshAllah victory will be for Islam. No matter how unjust the o"&amp;"ppressor is, Allah is the best of planners.")</f>
        <v>No matter how much effort is made to suppress Islam, it cannot be suppressed. As much as the Iftar has been prevented in different places, it has been organized in a bigger way the next time. InshAllah victory will be for Islam. No matter how unjust the oppressor is, Allah is the best of planners.</v>
      </c>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6" x14ac:dyDescent="0.3">
      <c r="A555" s="18" t="s">
        <v>5</v>
      </c>
      <c r="B555" s="24" t="s">
        <v>560</v>
      </c>
      <c r="C555" s="2" t="str">
        <f ca="1">IFERROR(__xludf.DUMMYFUNCTION("GOOGLETRANSLATE(B555, ""bn"", ""en"")"),"In October 2019, 27 people were killed when a group of minorities burnt their houses.")</f>
        <v>In October 2019, 27 people were killed when a group of minorities burnt their houses.</v>
      </c>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6" x14ac:dyDescent="0.3">
      <c r="A556" s="19" t="s">
        <v>8</v>
      </c>
      <c r="B556" s="26" t="s">
        <v>561</v>
      </c>
      <c r="C556" s="2" t="str">
        <f ca="1">IFERROR(__xludf.DUMMYFUNCTION("GOOGLETRANSLATE(B556, ""bn"", ""en"")"),"On May 11, 2006, armed city hall officers in Kuala Lumpur forcibly demolished a section of a 600-year-old suburban temple, a place of worship for more than 1,000 Hindus.")</f>
        <v>On May 11, 2006, armed city hall officers in Kuala Lumpur forcibly demolished a section of a 600-year-old suburban temple, a place of worship for more than 1,000 Hindus.</v>
      </c>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6" x14ac:dyDescent="0.3">
      <c r="A557" s="19" t="s">
        <v>23</v>
      </c>
      <c r="B557" s="26" t="s">
        <v>562</v>
      </c>
      <c r="C557" s="2" t="str">
        <f ca="1">IFERROR(__xludf.DUMMYFUNCTION("GOOGLETRANSLATE(B557, ""bn"", ""en"")"),"There is still time to change your dirty mind; An appeal to both Muslims and Hindus to change themselves.")</f>
        <v>There is still time to change your dirty mind; An appeal to both Muslims and Hindus to change themselves.</v>
      </c>
      <c r="D557" s="7"/>
      <c r="E557" s="7"/>
      <c r="F557" s="7"/>
      <c r="G557" s="7"/>
      <c r="H557" s="5"/>
      <c r="I557" s="5"/>
      <c r="J557" s="5"/>
      <c r="K557" s="5"/>
      <c r="L557" s="5"/>
      <c r="M557" s="5"/>
      <c r="N557" s="5"/>
      <c r="O557" s="5"/>
      <c r="P557" s="5"/>
      <c r="Q557" s="5"/>
      <c r="R557" s="5"/>
      <c r="S557" s="5"/>
      <c r="T557" s="5"/>
      <c r="U557" s="5"/>
      <c r="V557" s="5"/>
      <c r="W557" s="5"/>
      <c r="X557" s="5"/>
      <c r="Y557" s="5"/>
      <c r="Z557" s="5"/>
    </row>
    <row r="558" spans="1:26" ht="15.6" x14ac:dyDescent="0.3">
      <c r="A558" s="18" t="s">
        <v>3</v>
      </c>
      <c r="B558" s="25" t="s">
        <v>563</v>
      </c>
      <c r="C558" s="2" t="str">
        <f ca="1">IFERROR(__xludf.DUMMYFUNCTION("GOOGLETRANSLATE(B558, ""bn"", ""en"")"),"There will be disappointment, sadness and despair in life. But then you have to be patient. Falling into Satan's trap and killing yourself is not a solution. Instead, we should turn to Allah in times of trouble. Istighfar must be done.")</f>
        <v>There will be disappointment, sadness and despair in life. But then you have to be patient. Falling into Satan's trap and killing yourself is not a solution. Instead, we should turn to Allah in times of trouble. Istighfar must be done.</v>
      </c>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6" x14ac:dyDescent="0.3">
      <c r="A559" s="18" t="s">
        <v>5</v>
      </c>
      <c r="B559" s="24" t="s">
        <v>564</v>
      </c>
      <c r="C559" s="2" t="str">
        <f ca="1">IFERROR(__xludf.DUMMYFUNCTION("GOOGLETRANSLATE(B559, ""bn"", ""en"")"),"In August 2016, a woman was brutalized over religious differences, her family protested, and 17 people were killed in clashes.")</f>
        <v>In August 2016, a woman was brutalized over religious differences, her family protested, and 17 people were killed in clashes.</v>
      </c>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6" x14ac:dyDescent="0.3">
      <c r="A560" s="18" t="s">
        <v>3</v>
      </c>
      <c r="B560" s="25" t="s">
        <v>565</v>
      </c>
      <c r="C560" s="2" t="str">
        <f ca="1">IFERROR(__xludf.DUMMYFUNCTION("GOOGLETRANSLATE(B560, ""bn"", ""en"")"),"When Hindus and Muslims live together in peace, they show respect for each other's religious festivals and customs, which conveys a strong message of unity and brotherhood.")</f>
        <v>When Hindus and Muslims live together in peace, they show respect for each other's religious festivals and customs, which conveys a strong message of unity and brotherhood.</v>
      </c>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6" x14ac:dyDescent="0.3">
      <c r="A561" s="19" t="s">
        <v>8</v>
      </c>
      <c r="B561" s="26" t="s">
        <v>566</v>
      </c>
      <c r="C561" s="2" t="str">
        <f ca="1">IFERROR(__xludf.DUMMYFUNCTION("GOOGLETRANSLATE(B561, ""bn"", ""en"")"),"Hindu refugees of Jahanpur village looted paddy, grains, jute and gold jewelery by Muslims.")</f>
        <v>Hindu refugees of Jahanpur village looted paddy, grains, jute and gold jewelery by Muslims.</v>
      </c>
      <c r="D561" s="7"/>
      <c r="E561" s="7"/>
      <c r="F561" s="7"/>
      <c r="G561" s="5"/>
      <c r="H561" s="5"/>
      <c r="I561" s="5"/>
      <c r="J561" s="5"/>
      <c r="K561" s="5"/>
      <c r="L561" s="5"/>
      <c r="M561" s="5"/>
      <c r="N561" s="5"/>
      <c r="O561" s="5"/>
      <c r="P561" s="5"/>
      <c r="Q561" s="5"/>
      <c r="R561" s="5"/>
      <c r="S561" s="5"/>
      <c r="T561" s="5"/>
      <c r="U561" s="5"/>
      <c r="V561" s="5"/>
      <c r="W561" s="5"/>
      <c r="X561" s="5"/>
      <c r="Y561" s="5"/>
      <c r="Z561" s="5"/>
    </row>
    <row r="562" spans="1:26" ht="15.6" x14ac:dyDescent="0.3">
      <c r="A562" s="18" t="s">
        <v>23</v>
      </c>
      <c r="B562" s="25" t="s">
        <v>567</v>
      </c>
      <c r="C562" s="2" t="str">
        <f ca="1">IFERROR(__xludf.DUMMYFUNCTION("GOOGLETRANSLATE(B562, ""bn"", ""en"")"),"Before saying - Iftar party since Ramadan or religious program? What makes Ramadan to celebrate?")</f>
        <v>Before saying - Iftar party since Ramadan or religious program? What makes Ramadan to celebrate?</v>
      </c>
      <c r="D562" s="2"/>
      <c r="E562" s="2"/>
      <c r="F562" s="2"/>
      <c r="G562" s="2"/>
      <c r="H562" s="3"/>
      <c r="I562" s="3"/>
      <c r="J562" s="3"/>
      <c r="K562" s="3"/>
      <c r="L562" s="3"/>
      <c r="M562" s="3"/>
      <c r="N562" s="3"/>
      <c r="O562" s="3"/>
      <c r="P562" s="3"/>
      <c r="Q562" s="3"/>
      <c r="R562" s="3"/>
      <c r="S562" s="3"/>
      <c r="T562" s="3"/>
      <c r="U562" s="3"/>
      <c r="V562" s="3"/>
      <c r="W562" s="3"/>
      <c r="X562" s="3"/>
      <c r="Y562" s="3"/>
      <c r="Z562" s="3"/>
    </row>
    <row r="563" spans="1:26" ht="15.6" x14ac:dyDescent="0.3">
      <c r="A563" s="18" t="s">
        <v>3</v>
      </c>
      <c r="B563" s="25" t="s">
        <v>568</v>
      </c>
      <c r="C563" s="2" t="str">
        <f ca="1">IFERROR(__xludf.DUMMYFUNCTION("GOOGLETRANSLATE(B563, ""bn"", ""en"")"),"Alhamdulillah Alhamdulillah tears came to my eyes hearing the words May Allah grant us Jannatul Ferdows Amin")</f>
        <v>Alhamdulillah Alhamdulillah tears came to my eyes hearing the words May Allah grant us Jannatul Ferdows Amin</v>
      </c>
      <c r="D563" s="7"/>
      <c r="E563" s="7"/>
      <c r="F563" s="7"/>
      <c r="G563" s="7"/>
      <c r="H563" s="7"/>
      <c r="I563" s="7"/>
      <c r="J563" s="7"/>
      <c r="K563" s="7"/>
      <c r="L563" s="7"/>
      <c r="M563" s="7"/>
      <c r="N563" s="7"/>
      <c r="O563" s="7"/>
      <c r="P563" s="7"/>
      <c r="Q563" s="7"/>
      <c r="R563" s="7"/>
      <c r="S563" s="7"/>
      <c r="T563" s="5"/>
      <c r="U563" s="5"/>
      <c r="V563" s="5"/>
      <c r="W563" s="5"/>
      <c r="X563" s="5"/>
      <c r="Y563" s="5"/>
      <c r="Z563" s="5"/>
    </row>
    <row r="564" spans="1:26" ht="15.6" x14ac:dyDescent="0.3">
      <c r="A564" s="19" t="s">
        <v>3</v>
      </c>
      <c r="B564" s="26" t="s">
        <v>569</v>
      </c>
      <c r="C564" s="2" t="str">
        <f ca="1">IFERROR(__xludf.DUMMYFUNCTION("GOOGLETRANSLATE(B564, ""bn"", ""en"")"),"No one among Hindus or minorities in Bangladesh dares to keep Quran Sharif near temples or deities. Educated and Sanskritic community does not disparage other religions.")</f>
        <v>No one among Hindus or minorities in Bangladesh dares to keep Quran Sharif near temples or deities. Educated and Sanskritic community does not disparage other religions.</v>
      </c>
      <c r="D564" s="7"/>
      <c r="E564" s="7"/>
      <c r="F564" s="7"/>
      <c r="G564" s="7"/>
      <c r="H564" s="7"/>
      <c r="I564" s="7"/>
      <c r="J564" s="7"/>
      <c r="K564" s="7"/>
      <c r="L564" s="7"/>
      <c r="M564" s="5"/>
      <c r="N564" s="5"/>
      <c r="O564" s="5"/>
      <c r="P564" s="5"/>
      <c r="Q564" s="5"/>
      <c r="R564" s="5"/>
      <c r="S564" s="5"/>
      <c r="T564" s="5"/>
      <c r="U564" s="5"/>
      <c r="V564" s="5"/>
      <c r="W564" s="5"/>
      <c r="X564" s="5"/>
      <c r="Y564" s="5"/>
      <c r="Z564" s="5"/>
    </row>
    <row r="565" spans="1:26" ht="15.6" x14ac:dyDescent="0.3">
      <c r="A565" s="18" t="s">
        <v>3</v>
      </c>
      <c r="B565" s="25" t="s">
        <v>570</v>
      </c>
      <c r="C565" s="2" t="str">
        <f ca="1">IFERROR(__xludf.DUMMYFUNCTION("GOOGLETRANSLATE(B565, ""bn"", ""en"")"),"In your description, our solar system seems like nothing to the great creation in the highest sense of the small brain. We cannot think about our world and our existence there. It is impossible to imagine this immensity of creation. All praise is due to A"&amp;"llah.")</f>
        <v>In your description, our solar system seems like nothing to the great creation in the highest sense of the small brain. We cannot think about our world and our existence there. It is impossible to imagine this immensity of creation. All praise is due to Allah.</v>
      </c>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6" x14ac:dyDescent="0.3">
      <c r="A566" s="19" t="s">
        <v>5</v>
      </c>
      <c r="B566" s="26" t="s">
        <v>571</v>
      </c>
      <c r="C566" s="2" t="str">
        <f ca="1">IFERROR(__xludf.DUMMYFUNCTION("GOOGLETRANSLATE(B566, ""bn"", ""en"")"),"Violent clashes between Sunni and Shia communities in Syria have left millions dead and displaced.")</f>
        <v>Violent clashes between Sunni and Shia communities in Syria have left millions dead and displaced.</v>
      </c>
      <c r="D566" s="7"/>
      <c r="E566" s="7"/>
      <c r="F566" s="5"/>
      <c r="G566" s="5"/>
      <c r="H566" s="5"/>
      <c r="I566" s="5"/>
      <c r="J566" s="5"/>
      <c r="K566" s="5"/>
      <c r="L566" s="5"/>
      <c r="M566" s="5"/>
      <c r="N566" s="5"/>
      <c r="O566" s="5"/>
      <c r="P566" s="5"/>
      <c r="Q566" s="5"/>
      <c r="R566" s="5"/>
      <c r="S566" s="5"/>
      <c r="T566" s="5"/>
      <c r="U566" s="5"/>
      <c r="V566" s="5"/>
      <c r="W566" s="5"/>
      <c r="X566" s="5"/>
      <c r="Y566" s="5"/>
      <c r="Z566" s="5"/>
    </row>
    <row r="567" spans="1:26" ht="15.6" x14ac:dyDescent="0.3">
      <c r="A567" s="18" t="s">
        <v>3</v>
      </c>
      <c r="B567" s="25" t="s">
        <v>572</v>
      </c>
      <c r="C567" s="2" t="str">
        <f ca="1">IFERROR(__xludf.DUMMYFUNCTION("GOOGLETRANSLATE(B567, ""bn"", ""en"")"),"Following Allah's guidance removes doubt and uncertainty from our lives, and we experience true peace and stability.")</f>
        <v>Following Allah's guidance removes doubt and uncertainty from our lives, and we experience true peace and stability.</v>
      </c>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6" x14ac:dyDescent="0.3">
      <c r="A568" s="19" t="s">
        <v>3</v>
      </c>
      <c r="B568" s="26" t="s">
        <v>573</v>
      </c>
      <c r="C568" s="2" t="str">
        <f ca="1">IFERROR(__xludf.DUMMYFUNCTION("GOOGLETRANSLATE(B568, ""bn"", ""en"")"),"He went to recite the Qur'an, so it is better to think about the welfare of everyone without arguing about these things.")</f>
        <v>He went to recite the Qur'an, so it is better to think about the welfare of everyone without arguing about these things.</v>
      </c>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6" x14ac:dyDescent="0.3">
      <c r="A569" s="19" t="s">
        <v>8</v>
      </c>
      <c r="B569" s="26" t="s">
        <v>574</v>
      </c>
      <c r="C569" s="2" t="str">
        <f ca="1">IFERROR(__xludf.DUMMYFUNCTION("GOOGLETRANSLATE(B569, ""bn"", ""en"")"),"On December 6, 1992, workers of the Vishwa Hindu Parishad and their affiliates demolished the Babri Masjid")</f>
        <v>On December 6, 1992, workers of the Vishwa Hindu Parishad and their affiliates demolished the Babri Masjid</v>
      </c>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6" x14ac:dyDescent="0.3">
      <c r="A570" s="18" t="s">
        <v>3</v>
      </c>
      <c r="B570" s="25" t="s">
        <v>575</v>
      </c>
      <c r="C570" s="2" t="str">
        <f ca="1">IFERROR(__xludf.DUMMYFUNCTION("GOOGLETRANSLATE(B570, ""bn"", ""en"")"),"Where discussion about Islam is important, Muslims can focus on more constructive matters rather than just preoccupation with sehri and iftar. There should be constructive discussions on the organization of religious activities in social and educational i"&amp;"nstitutions, so that everyone's opinion and religious freedom is respected.")</f>
        <v>Where discussion about Islam is important, Muslims can focus on more constructive matters rather than just preoccupation with sehri and iftar. There should be constructive discussions on the organization of religious activities in social and educational institutions, so that everyone's opinion and religious freedom is respected.</v>
      </c>
      <c r="D570" s="7"/>
      <c r="E570" s="5"/>
      <c r="F570" s="5"/>
      <c r="G570" s="5"/>
      <c r="H570" s="5"/>
      <c r="I570" s="5"/>
      <c r="J570" s="5"/>
      <c r="K570" s="5"/>
      <c r="L570" s="5"/>
      <c r="M570" s="5"/>
      <c r="N570" s="5"/>
      <c r="O570" s="5"/>
      <c r="P570" s="5"/>
      <c r="Q570" s="5"/>
      <c r="R570" s="5"/>
      <c r="S570" s="5"/>
      <c r="T570" s="5"/>
      <c r="U570" s="5"/>
      <c r="V570" s="5"/>
      <c r="W570" s="5"/>
      <c r="X570" s="5"/>
      <c r="Y570" s="5"/>
      <c r="Z570" s="5"/>
    </row>
    <row r="571" spans="1:26" ht="15.6" x14ac:dyDescent="0.3">
      <c r="A571" s="18" t="s">
        <v>8</v>
      </c>
      <c r="B571" s="25" t="s">
        <v>576</v>
      </c>
      <c r="C571" s="2" t="str">
        <f ca="1">IFERROR(__xludf.DUMMYFUNCTION("GOOGLETRANSLATE(B571, ""bn"", ""en"")"),"Where Muslim leaders assured protection of Hindus and Christians. Despite the assurances, Kazirchar and Kasherhat were attacked on February 15. On the night of 16th, Satani village was attacked and set on fire.")</f>
        <v>Where Muslim leaders assured protection of Hindus and Christians. Despite the assurances, Kazirchar and Kasherhat were attacked on February 15. On the night of 16th, Satani village was attacked and set on fire.</v>
      </c>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6" x14ac:dyDescent="0.3">
      <c r="A572" s="18" t="s">
        <v>23</v>
      </c>
      <c r="B572" s="25" t="s">
        <v>577</v>
      </c>
      <c r="C572" s="2" t="str">
        <f ca="1">IFERROR(__xludf.DUMMYFUNCTION("GOOGLETRANSLATE(B572, ""bn"", ""en"")"),"By the words of those who leave militant fundamentalist extremists, what consciousness of yours spread it in the society by justifying it.")</f>
        <v>By the words of those who leave militant fundamentalist extremists, what consciousness of yours spread it in the society by justifying it.</v>
      </c>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6" x14ac:dyDescent="0.3">
      <c r="A573" s="18" t="s">
        <v>5</v>
      </c>
      <c r="B573" s="24" t="s">
        <v>578</v>
      </c>
      <c r="C573" s="2" t="str">
        <f ca="1">IFERROR(__xludf.DUMMYFUNCTION("GOOGLETRANSLATE(B573, ""bn"", ""en"")"),"In December 2019, a youth was publicly killed for his apostasy, and 15 people were killed in protests.")</f>
        <v>In December 2019, a youth was publicly killed for his apostasy, and 15 people were killed in protests.</v>
      </c>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6" x14ac:dyDescent="0.3">
      <c r="A574" s="19" t="s">
        <v>8</v>
      </c>
      <c r="B574" s="26" t="s">
        <v>579</v>
      </c>
      <c r="C574" s="2" t="str">
        <f ca="1">IFERROR(__xludf.DUMMYFUNCTION("GOOGLETRANSLATE(B574, ""bn"", ""en"")"),"In the rest, heinous attacks for not giving cigarettes, vandalism of 5 minority houses, looting, burning of temples, molestation of women, 10 injured.")</f>
        <v>In the rest, heinous attacks for not giving cigarettes, vandalism of 5 minority houses, looting, burning of temples, molestation of women, 10 injured.</v>
      </c>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6" x14ac:dyDescent="0.3">
      <c r="A575" s="18" t="s">
        <v>5</v>
      </c>
      <c r="B575" s="25" t="s">
        <v>580</v>
      </c>
      <c r="C575" s="2" t="str">
        <f ca="1">IFERROR(__xludf.DUMMYFUNCTION("GOOGLETRANSLATE(B575, ""bn"", ""en"")"),"98 citizens belonging to religious minorities were brutally killed in the outgoing year. The number of injured is 357. Bangladesh National Hindu Mahazot published this information a day before the end of the year after reviewing and analyzing the informat"&amp;"ion published in the media.")</f>
        <v>98 citizens belonging to religious minorities were brutally killed in the outgoing year. The number of injured is 357. Bangladesh National Hindu Mahazot published this information a day before the end of the year after reviewing and analyzing the information published in the media.</v>
      </c>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6" x14ac:dyDescent="0.3">
      <c r="A576" s="18" t="s">
        <v>3</v>
      </c>
      <c r="B576" s="25" t="s">
        <v>581</v>
      </c>
      <c r="C576" s="2" t="str">
        <f ca="1">IFERROR(__xludf.DUMMYFUNCTION("GOOGLETRANSLATE(B576, ""bn"", ""en"")"),"The words of the Gita are about the creation of the universe. The more discussions in Sanatan Dharma, the more correct information will emerge. Sanatan i.e. Hinduism is the only way of peace and liberation for man.")</f>
        <v>The words of the Gita are about the creation of the universe. The more discussions in Sanatan Dharma, the more correct information will emerge. Sanatan i.e. Hinduism is the only way of peace and liberation for man.</v>
      </c>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6" x14ac:dyDescent="0.3">
      <c r="A577" s="19" t="s">
        <v>23</v>
      </c>
      <c r="B577" s="26" t="s">
        <v>582</v>
      </c>
      <c r="C577" s="2" t="str">
        <f ca="1">IFERROR(__xludf.DUMMYFUNCTION("GOOGLETRANSLATE(B577, ""bn"", ""en"")"),"A protest rally took place at Dhaka University, and according to press and social media reports, it was attended by student organizations of various persuasions. The rally condemned the French president for inciting Islamophobia in the name of freedom of "&amp;"expression.")</f>
        <v>A protest rally took place at Dhaka University, and according to press and social media reports, it was attended by student organizations of various persuasions. The rally condemned the French president for inciting Islamophobia in the name of freedom of expression.</v>
      </c>
      <c r="D577" s="7"/>
      <c r="E577" s="7"/>
      <c r="F577" s="7"/>
      <c r="G577" s="7"/>
      <c r="H577" s="5"/>
      <c r="I577" s="5"/>
      <c r="J577" s="5"/>
      <c r="K577" s="5"/>
      <c r="L577" s="5"/>
      <c r="M577" s="5"/>
      <c r="N577" s="5"/>
      <c r="O577" s="5"/>
      <c r="P577" s="5"/>
      <c r="Q577" s="5"/>
      <c r="R577" s="5"/>
      <c r="S577" s="5"/>
      <c r="T577" s="5"/>
      <c r="U577" s="5"/>
      <c r="V577" s="5"/>
      <c r="W577" s="5"/>
      <c r="X577" s="5"/>
      <c r="Y577" s="5"/>
      <c r="Z577" s="5"/>
    </row>
    <row r="578" spans="1:26" ht="15.6" x14ac:dyDescent="0.3">
      <c r="A578" s="19" t="s">
        <v>3</v>
      </c>
      <c r="B578" s="26" t="s">
        <v>583</v>
      </c>
      <c r="C578" s="2" t="str">
        <f ca="1">IFERROR(__xludf.DUMMYFUNCTION("GOOGLETRANSLATE(B578, ""bn"", ""en"")"),"In Bangladesh, there are followers of Christianity among some indigenous communities, including Roman Catholics and Baptists.")</f>
        <v>In Bangladesh, there are followers of Christianity among some indigenous communities, including Roman Catholics and Baptists.</v>
      </c>
      <c r="D578" s="7"/>
      <c r="E578" s="7"/>
      <c r="F578" s="7"/>
      <c r="G578" s="7"/>
      <c r="H578" s="5"/>
      <c r="I578" s="5"/>
      <c r="J578" s="5"/>
      <c r="K578" s="5"/>
      <c r="L578" s="5"/>
      <c r="M578" s="5"/>
      <c r="N578" s="5"/>
      <c r="O578" s="5"/>
      <c r="P578" s="5"/>
      <c r="Q578" s="5"/>
      <c r="R578" s="5"/>
      <c r="S578" s="5"/>
      <c r="T578" s="5"/>
      <c r="U578" s="5"/>
      <c r="V578" s="5"/>
      <c r="W578" s="5"/>
      <c r="X578" s="5"/>
      <c r="Y578" s="5"/>
      <c r="Z578" s="5"/>
    </row>
    <row r="579" spans="1:26" ht="15.6" x14ac:dyDescent="0.3">
      <c r="A579" s="18" t="s">
        <v>5</v>
      </c>
      <c r="B579" s="24" t="s">
        <v>584</v>
      </c>
      <c r="C579" s="2" t="str">
        <f ca="1">IFERROR(__xludf.DUMMYFUNCTION("GOOGLETRANSLATE(B579, ""bn"", ""en"")"),"In February 2023, 52 people were killed in a religious riot in a village; The vandalism of their houses and temples caused huge damage.")</f>
        <v>In February 2023, 52 people were killed in a religious riot in a village; The vandalism of their houses and temples caused huge damage.</v>
      </c>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6" x14ac:dyDescent="0.3">
      <c r="A580" s="18" t="s">
        <v>5</v>
      </c>
      <c r="B580" s="25" t="s">
        <v>585</v>
      </c>
      <c r="C580" s="2" t="str">
        <f ca="1">IFERROR(__xludf.DUMMYFUNCTION("GOOGLETRANSLATE(B580, ""bn"", ""en"")"),"There were only 16 families in Chandipur. All the residents of the village stand in a line and fire a burst. 45 Hindus died in it. Only two people survived the massacre.")</f>
        <v>There were only 16 families in Chandipur. All the residents of the village stand in a line and fire a burst. 45 Hindus died in it. Only two people survived the massacre.</v>
      </c>
      <c r="D580" s="6"/>
      <c r="E580" s="6"/>
      <c r="F580" s="2"/>
      <c r="G580" s="2"/>
      <c r="H580" s="3"/>
      <c r="I580" s="3"/>
      <c r="J580" s="3"/>
      <c r="K580" s="3"/>
      <c r="L580" s="3"/>
      <c r="M580" s="3"/>
      <c r="N580" s="3"/>
      <c r="O580" s="3"/>
      <c r="P580" s="3"/>
      <c r="Q580" s="3"/>
      <c r="R580" s="3"/>
      <c r="S580" s="3"/>
      <c r="T580" s="3"/>
      <c r="U580" s="3"/>
      <c r="V580" s="3"/>
      <c r="W580" s="3"/>
      <c r="X580" s="3"/>
      <c r="Y580" s="3"/>
      <c r="Z580" s="3"/>
    </row>
    <row r="581" spans="1:26" ht="15.6" x14ac:dyDescent="0.3">
      <c r="A581" s="19" t="s">
        <v>5</v>
      </c>
      <c r="B581" s="26" t="s">
        <v>586</v>
      </c>
      <c r="C581" s="2" t="str">
        <f ca="1">IFERROR(__xludf.DUMMYFUNCTION("GOOGLETRANSLATE(B581, ""bn"", ""en"")"),"Several Hindu temples and an unknown number of Hindus were also killed during the riots, except for five Hindu saints (including Saraswati) who were killed early on.")</f>
        <v>Several Hindu temples and an unknown number of Hindus were also killed during the riots, except for five Hindu saints (including Saraswati) who were killed early on.</v>
      </c>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6" x14ac:dyDescent="0.3">
      <c r="A582" s="18" t="s">
        <v>23</v>
      </c>
      <c r="B582" s="24" t="s">
        <v>587</v>
      </c>
      <c r="C582" s="2" t="str">
        <f ca="1">IFERROR(__xludf.DUMMYFUNCTION("GOOGLETRANSLATE(B582, ""bn"", ""en"")"),"Muslim extremists are spreading hatred and violence against religions other than their own which is causing unrest in the society.")</f>
        <v>Muslim extremists are spreading hatred and violence against religions other than their own which is causing unrest in the society.</v>
      </c>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6" x14ac:dyDescent="0.3">
      <c r="A583" s="18" t="s">
        <v>23</v>
      </c>
      <c r="B583" s="25" t="s">
        <v>588</v>
      </c>
      <c r="C583" s="2" t="str">
        <f ca="1">IFERROR(__xludf.DUMMYFUNCTION("GOOGLETRANSLATE(B583, ""bn"", ""en"")"),"There was no protest on the part of our intellectuals and civil society. I did not see any punishment. At this disregard and indifference the common devout Muslims were outraged, shocked, their hearts wounded, but not a single word of solace and sympathy "&amp;"was uttered anywhere.")</f>
        <v>There was no protest on the part of our intellectuals and civil society. I did not see any punishment. At this disregard and indifference the common devout Muslims were outraged, shocked, their hearts wounded, but not a single word of solace and sympathy was uttered anywhere.</v>
      </c>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6" x14ac:dyDescent="0.3">
      <c r="A584" s="18" t="s">
        <v>23</v>
      </c>
      <c r="B584" s="25" t="s">
        <v>589</v>
      </c>
      <c r="C584" s="2" t="str">
        <f ca="1">IFERROR(__xludf.DUMMYFUNCTION("GOOGLETRANSLATE(B584, ""bn"", ""en"")"),"Buddhists are the majority in this country, and Buddhist monks played a key role in the persecution of Hindus during the civil war. Hindus are still regularly persecuted by Buddhist extremists.")</f>
        <v>Buddhists are the majority in this country, and Buddhist monks played a key role in the persecution of Hindus during the civil war. Hindus are still regularly persecuted by Buddhist extremists.</v>
      </c>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6" x14ac:dyDescent="0.3">
      <c r="A585" s="18" t="s">
        <v>8</v>
      </c>
      <c r="B585" s="25" t="s">
        <v>590</v>
      </c>
      <c r="C585" s="2" t="str">
        <f ca="1">IFERROR(__xludf.DUMMYFUNCTION("GOOGLETRANSLATE(B585, ""bn"", ""en"")"),"Destruction of temples, mosques and attacks on places of worship in the name of religion is a disgrace to humanity. Everyone should take a conscious and preventive role against such bigoted and violent behavior in Bangladesh.")</f>
        <v>Destruction of temples, mosques and attacks on places of worship in the name of religion is a disgrace to humanity. Everyone should take a conscious and preventive role against such bigoted and violent behavior in Bangladesh.</v>
      </c>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6" x14ac:dyDescent="0.3">
      <c r="A586" s="19" t="s">
        <v>3</v>
      </c>
      <c r="B586" s="26" t="s">
        <v>591</v>
      </c>
      <c r="C586" s="2" t="str">
        <f ca="1">IFERROR(__xludf.DUMMYFUNCTION("GOOGLETRANSLATE(B586, ""bn"", ""en"")"),"When a Muslim child regains life in the blood of a Christian, when a Hindu old man regains life in the blood of a Muslim brother, and when a Christian regains life in the blood of a Hindu,")</f>
        <v>When a Muslim child regains life in the blood of a Christian, when a Hindu old man regains life in the blood of a Muslim brother, and when a Christian regains life in the blood of a Hindu,</v>
      </c>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6" x14ac:dyDescent="0.3">
      <c r="A587" s="19" t="s">
        <v>23</v>
      </c>
      <c r="B587" s="26" t="s">
        <v>592</v>
      </c>
      <c r="C587" s="2" t="str">
        <f ca="1">IFERROR(__xludf.DUMMYFUNCTION("GOOGLETRANSLATE(B587, ""bn"", ""en"")"),"We strongly condemn this incident. Hurting religious sentiments is inhumane, the government must take strict action against it or suffer serious consequences.")</f>
        <v>We strongly condemn this incident. Hurting religious sentiments is inhumane, the government must take strict action against it or suffer serious consequences.</v>
      </c>
      <c r="D587" s="7"/>
      <c r="E587" s="7"/>
      <c r="F587" s="7"/>
      <c r="G587" s="7"/>
      <c r="H587" s="7"/>
      <c r="I587" s="7"/>
      <c r="J587" s="7"/>
      <c r="K587" s="7"/>
      <c r="L587" s="7"/>
      <c r="M587" s="5"/>
      <c r="N587" s="5"/>
      <c r="O587" s="5"/>
      <c r="P587" s="5"/>
      <c r="Q587" s="5"/>
      <c r="R587" s="5"/>
      <c r="S587" s="5"/>
      <c r="T587" s="5"/>
      <c r="U587" s="5"/>
      <c r="V587" s="5"/>
      <c r="W587" s="5"/>
      <c r="X587" s="5"/>
      <c r="Y587" s="5"/>
      <c r="Z587" s="5"/>
    </row>
    <row r="588" spans="1:26" ht="15.6" x14ac:dyDescent="0.3">
      <c r="A588" s="18" t="s">
        <v>8</v>
      </c>
      <c r="B588" s="24" t="s">
        <v>593</v>
      </c>
      <c r="C588" s="2" t="str">
        <f ca="1">IFERROR(__xludf.DUMMYFUNCTION("GOOGLETRANSLATE(B588, ""bn"", ""en"")"),"An attempt was made to set fire to a mosque by entering it in Faridpur, many parts of the mosque were damaged by fire.")</f>
        <v>An attempt was made to set fire to a mosque by entering it in Faridpur, many parts of the mosque were damaged by fire.</v>
      </c>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6" x14ac:dyDescent="0.3">
      <c r="A589" s="18" t="s">
        <v>3</v>
      </c>
      <c r="B589" s="25" t="s">
        <v>594</v>
      </c>
      <c r="C589" s="2" t="str">
        <f ca="1">IFERROR(__xludf.DUMMYFUNCTION("GOOGLETRANSLATE(B589, ""bn"", ""en"")"),"Masha-Allah, Ustadji has explained very well. It's easier for me now. I will try to read it cleanly, inshallah.")</f>
        <v>Masha-Allah, Ustadji has explained very well. It's easier for me now. I will try to read it cleanly, inshallah.</v>
      </c>
      <c r="D589" s="2"/>
      <c r="E589" s="2"/>
      <c r="F589" s="2"/>
      <c r="G589" s="2"/>
      <c r="H589" s="5"/>
      <c r="I589" s="5"/>
      <c r="J589" s="5"/>
      <c r="K589" s="5"/>
      <c r="L589" s="5"/>
      <c r="M589" s="5"/>
      <c r="N589" s="5"/>
      <c r="O589" s="5"/>
      <c r="P589" s="5"/>
      <c r="Q589" s="5"/>
      <c r="R589" s="5"/>
      <c r="S589" s="5"/>
      <c r="T589" s="5"/>
      <c r="U589" s="5"/>
      <c r="V589" s="5"/>
      <c r="W589" s="5"/>
      <c r="X589" s="5"/>
      <c r="Y589" s="5"/>
      <c r="Z589" s="5"/>
    </row>
    <row r="590" spans="1:26" ht="15.6" x14ac:dyDescent="0.3">
      <c r="A590" s="18" t="s">
        <v>5</v>
      </c>
      <c r="B590" s="24" t="s">
        <v>595</v>
      </c>
      <c r="C590" s="2" t="str">
        <f ca="1">IFERROR(__xludf.DUMMYFUNCTION("GOOGLETRANSLATE(B590, ""bn"", ""en"")"),"In Chandpur, 38 people were killed in an extremist attack by a religious group; There is extensive damage.")</f>
        <v>In Chandpur, 38 people were killed in an extremist attack by a religious group; There is extensive damage.</v>
      </c>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6" x14ac:dyDescent="0.3">
      <c r="A591" s="18" t="s">
        <v>5</v>
      </c>
      <c r="B591" s="25" t="s">
        <v>596</v>
      </c>
      <c r="C591" s="2" t="str">
        <f ca="1">IFERROR(__xludf.DUMMYFUNCTION("GOOGLETRANSLATE(B591, ""bn"", ""en"")"),"At least 38 people were killed in the suicide bombings and airstrikes in and around the place of worship, mostly while praying.")</f>
        <v>At least 38 people were killed in the suicide bombings and airstrikes in and around the place of worship, mostly while praying.</v>
      </c>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6" x14ac:dyDescent="0.3">
      <c r="A592" s="19" t="s">
        <v>5</v>
      </c>
      <c r="B592" s="26" t="s">
        <v>597</v>
      </c>
      <c r="C592" s="2" t="str">
        <f ca="1">IFERROR(__xludf.DUMMYFUNCTION("GOOGLETRANSLATE(B592, ""bn"", ""en"")"),"The soldiers took 42 Hindus to a nearby hut and killed them with machine gun brushfire. When the survivors tried to move despite their bullet wounds, they were bayoneted to death.")</f>
        <v>The soldiers took 42 Hindus to a nearby hut and killed them with machine gun brushfire. When the survivors tried to move despite their bullet wounds, they were bayoneted to death.</v>
      </c>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6" x14ac:dyDescent="0.3">
      <c r="A593" s="19" t="s">
        <v>8</v>
      </c>
      <c r="B593" s="26" t="s">
        <v>598</v>
      </c>
      <c r="C593" s="2" t="str">
        <f ca="1">IFERROR(__xludf.DUMMYFUNCTION("GOOGLETRANSLATE(B593, ""bn"", ""en"")"),"All the Hindu owned shops near the Light House Cinema are vandalized and looted.")</f>
        <v>All the Hindu owned shops near the Light House Cinema are vandalized and looted.</v>
      </c>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6" x14ac:dyDescent="0.3">
      <c r="A594" s="18" t="s">
        <v>5</v>
      </c>
      <c r="B594" s="24" t="s">
        <v>599</v>
      </c>
      <c r="C594" s="2" t="str">
        <f ca="1">IFERROR(__xludf.DUMMYFUNCTION("GOOGLETRANSLATE(B594, ""bn"", ""en"")"),"A Hindu Pandit was lynched from his home due to religious hatred, 21 people were killed in the protest.")</f>
        <v>A Hindu Pandit was lynched from his home due to religious hatred, 21 people were killed in the protest.</v>
      </c>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6" x14ac:dyDescent="0.3">
      <c r="A595" s="19" t="s">
        <v>3</v>
      </c>
      <c r="B595" s="26" t="s">
        <v>600</v>
      </c>
      <c r="C595" s="2" t="str">
        <f ca="1">IFERROR(__xludf.DUMMYFUNCTION("GOOGLETRANSLATE(B595, ""bn"", ""en"")"),"Allah says in the Qur'an that showing respect and love for other religions is also a part of true faith, which brings peace and prosperity.")</f>
        <v>Allah says in the Qur'an that showing respect and love for other religions is also a part of true faith, which brings peace and prosperity.</v>
      </c>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6" x14ac:dyDescent="0.3">
      <c r="A596" s="18" t="s">
        <v>23</v>
      </c>
      <c r="B596" s="25" t="s">
        <v>601</v>
      </c>
      <c r="C596" s="2" t="str">
        <f ca="1">IFERROR(__xludf.DUMMYFUNCTION("GOOGLETRANSLATE(B596, ""bn"", ""en"")"),"I strongly condemn Narsingdi Index Plaza and all the shops that have these shoes who gave them the right to play with Sanatan Dharma.")</f>
        <v>I strongly condemn Narsingdi Index Plaza and all the shops that have these shoes who gave them the right to play with Sanatan Dharma.</v>
      </c>
      <c r="D596" s="2"/>
      <c r="E596" s="2"/>
      <c r="F596" s="2"/>
      <c r="G596" s="2"/>
      <c r="H596" s="3"/>
      <c r="I596" s="3"/>
      <c r="J596" s="3"/>
      <c r="K596" s="3"/>
      <c r="L596" s="3"/>
      <c r="M596" s="3"/>
      <c r="N596" s="3"/>
      <c r="O596" s="3"/>
      <c r="P596" s="3"/>
      <c r="Q596" s="3"/>
      <c r="R596" s="3"/>
      <c r="S596" s="3"/>
      <c r="T596" s="3"/>
      <c r="U596" s="3"/>
      <c r="V596" s="3"/>
      <c r="W596" s="3"/>
      <c r="X596" s="3"/>
      <c r="Y596" s="3"/>
      <c r="Z596" s="3"/>
    </row>
    <row r="597" spans="1:26" ht="15.6" x14ac:dyDescent="0.3">
      <c r="A597" s="19" t="s">
        <v>23</v>
      </c>
      <c r="B597" s="26" t="s">
        <v>602</v>
      </c>
      <c r="C597" s="2" t="str">
        <f ca="1">IFERROR(__xludf.DUMMYFUNCTION("GOOGLETRANSLATE(B597, ""bn"", ""en"")"),"Anurag (Babu Bhaiya) is a staunch Hindu, who uses the emotions of his colleagues to make money.")</f>
        <v>Anurag (Babu Bhaiya) is a staunch Hindu, who uses the emotions of his colleagues to make money.</v>
      </c>
      <c r="D597" s="7"/>
      <c r="E597" s="7"/>
      <c r="F597" s="7"/>
      <c r="G597" s="5"/>
      <c r="H597" s="5"/>
      <c r="I597" s="5"/>
      <c r="J597" s="5"/>
      <c r="K597" s="5"/>
      <c r="L597" s="5"/>
      <c r="M597" s="5"/>
      <c r="N597" s="5"/>
      <c r="O597" s="5"/>
      <c r="P597" s="5"/>
      <c r="Q597" s="5"/>
      <c r="R597" s="5"/>
      <c r="S597" s="5"/>
      <c r="T597" s="5"/>
      <c r="U597" s="5"/>
      <c r="V597" s="5"/>
      <c r="W597" s="5"/>
      <c r="X597" s="5"/>
      <c r="Y597" s="5"/>
      <c r="Z597" s="5"/>
    </row>
    <row r="598" spans="1:26" ht="15.6" x14ac:dyDescent="0.3">
      <c r="A598" s="18" t="s">
        <v>5</v>
      </c>
      <c r="B598" s="24" t="s">
        <v>603</v>
      </c>
      <c r="C598" s="2" t="str">
        <f ca="1">IFERROR(__xludf.DUMMYFUNCTION("GOOGLETRANSLATE(B598, ""bn"", ""en"")"),"In October 2019, a group of religious groups burned the homes of minorities; 28 people were killed.")</f>
        <v>In October 2019, a group of religious groups burned the homes of minorities; 28 people were killed.</v>
      </c>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6" x14ac:dyDescent="0.3">
      <c r="A599" s="19" t="s">
        <v>23</v>
      </c>
      <c r="B599" s="26" t="s">
        <v>604</v>
      </c>
      <c r="C599" s="2" t="str">
        <f ca="1">IFERROR(__xludf.DUMMYFUNCTION("GOOGLETRANSLATE(B599, ""bn"", ""en"")"),"I say to the Hindu brothers, do not take anything to heart, what is the logic of worshiping or worshiping a doll made of clay with your own hands?")</f>
        <v>I say to the Hindu brothers, do not take anything to heart, what is the logic of worshiping or worshiping a doll made of clay with your own hands?</v>
      </c>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6" x14ac:dyDescent="0.3">
      <c r="A600" s="18" t="s">
        <v>3</v>
      </c>
      <c r="B600" s="25" t="s">
        <v>605</v>
      </c>
      <c r="C600" s="2" t="str">
        <f ca="1">IFERROR(__xludf.DUMMYFUNCTION("GOOGLETRANSLATE(B600, ""bn"", ""en"")"),"The main objective of every religion is to guide man on his path of spiritual progress, so that he can live peacefully in society.")</f>
        <v>The main objective of every religion is to guide man on his path of spiritual progress, so that he can live peacefully in society.</v>
      </c>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6" x14ac:dyDescent="0.3">
      <c r="A601" s="18" t="s">
        <v>8</v>
      </c>
      <c r="B601" s="25" t="s">
        <v>606</v>
      </c>
      <c r="C601" s="2" t="str">
        <f ca="1">IFERROR(__xludf.DUMMYFUNCTION("GOOGLETRANSLATE(B601, ""bn"", ""en"")"),"The Buddhists were so oppressed that they forgot the hundred atrocities committed by the Muslims and considered the Brahmin sacrifice by the conquerors and the conquest of Bengal by the Muslims as a gift from God.")</f>
        <v>The Buddhists were so oppressed that they forgot the hundred atrocities committed by the Muslims and considered the Brahmin sacrifice by the conquerors and the conquest of Bengal by the Muslims as a gift from God.</v>
      </c>
      <c r="D601" s="2"/>
      <c r="E601" s="2"/>
      <c r="F601" s="2"/>
      <c r="G601" s="2"/>
      <c r="H601" s="5"/>
      <c r="I601" s="5"/>
      <c r="J601" s="5"/>
      <c r="K601" s="5"/>
      <c r="L601" s="5"/>
      <c r="M601" s="5"/>
      <c r="N601" s="5"/>
      <c r="O601" s="5"/>
      <c r="P601" s="5"/>
      <c r="Q601" s="5"/>
      <c r="R601" s="5"/>
      <c r="S601" s="5"/>
      <c r="T601" s="5"/>
      <c r="U601" s="5"/>
      <c r="V601" s="5"/>
      <c r="W601" s="5"/>
      <c r="X601" s="5"/>
      <c r="Y601" s="5"/>
      <c r="Z601" s="5"/>
    </row>
    <row r="602" spans="1:26" ht="15.6" x14ac:dyDescent="0.3">
      <c r="A602" s="19" t="s">
        <v>3</v>
      </c>
      <c r="B602" s="26" t="s">
        <v>607</v>
      </c>
      <c r="C602" s="2" t="str">
        <f ca="1">IFERROR(__xludf.DUMMYFUNCTION("GOOGLETRANSLATE(B602, ""bn"", ""en"")"),"Muslim rulers treated Buddhists so liberally that Buddhists converted wholesale to Islam. Pandit Harprasad Shastri wrote, 'Half of the Buddhists of Bengal have become Muslims.")</f>
        <v>Muslim rulers treated Buddhists so liberally that Buddhists converted wholesale to Islam. Pandit Harprasad Shastri wrote, 'Half of the Buddhists of Bengal have become Muslims.</v>
      </c>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6" x14ac:dyDescent="0.3">
      <c r="A603" s="19" t="s">
        <v>8</v>
      </c>
      <c r="B603" s="26" t="s">
        <v>608</v>
      </c>
      <c r="C603" s="2" t="str">
        <f ca="1">IFERROR(__xludf.DUMMYFUNCTION("GOOGLETRANSLATE(B603, ""bn"", ""en"")"),"In Sylhet, some people of the local mosque ordered to turn off the microphone during the puja in the temple, which later turned into a clash.")</f>
        <v>In Sylhet, some people of the local mosque ordered to turn off the microphone during the puja in the temple, which later turned into a clash.</v>
      </c>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6" x14ac:dyDescent="0.3">
      <c r="A604" s="18" t="s">
        <v>5</v>
      </c>
      <c r="B604" s="25" t="s">
        <v>609</v>
      </c>
      <c r="C604" s="2" t="str">
        <f ca="1">IFERROR(__xludf.DUMMYFUNCTION("GOOGLETRANSLATE(B604, ""bn"", ""en"")"),"The lowest number of attacks occurred in 2020. However, there have been 67 attacks on temples. According to the data, the highest number of Hindus were killed during this period in 2016, with a total of seven.")</f>
        <v>The lowest number of attacks occurred in 2020. However, there have been 67 attacks on temples. According to the data, the highest number of Hindus were killed during this period in 2016, with a total of seven.</v>
      </c>
      <c r="D604" s="2"/>
      <c r="E604" s="2"/>
      <c r="F604" s="2"/>
      <c r="G604" s="2"/>
      <c r="H604" s="5"/>
      <c r="I604" s="5"/>
      <c r="J604" s="5"/>
      <c r="K604" s="5"/>
      <c r="L604" s="5"/>
      <c r="M604" s="5"/>
      <c r="N604" s="5"/>
      <c r="O604" s="5"/>
      <c r="P604" s="5"/>
      <c r="Q604" s="5"/>
      <c r="R604" s="5"/>
      <c r="S604" s="5"/>
      <c r="T604" s="5"/>
      <c r="U604" s="5"/>
      <c r="V604" s="5"/>
      <c r="W604" s="5"/>
      <c r="X604" s="5"/>
      <c r="Y604" s="5"/>
      <c r="Z604" s="5"/>
    </row>
    <row r="605" spans="1:26" ht="15.6" x14ac:dyDescent="0.3">
      <c r="A605" s="18" t="s">
        <v>3</v>
      </c>
      <c r="B605" s="25" t="s">
        <v>610</v>
      </c>
      <c r="C605" s="2" t="str">
        <f ca="1">IFERROR(__xludf.DUMMYFUNCTION("GOOGLETRANSLATE(B605, ""bn"", ""en"")"),"When there is mutual respect and love between Hindus and Muslims, a strong and peaceful relationship is established respecting the religious and cultural diversity in their society.")</f>
        <v>When there is mutual respect and love between Hindus and Muslims, a strong and peaceful relationship is established respecting the religious and cultural diversity in their society.</v>
      </c>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6" x14ac:dyDescent="0.3">
      <c r="A606" s="19" t="s">
        <v>23</v>
      </c>
      <c r="B606" s="26" t="s">
        <v>611</v>
      </c>
      <c r="C606" s="2" t="str">
        <f ca="1">IFERROR(__xludf.DUMMYFUNCTION("GOOGLETRANSLATE(B606, ""bn"", ""en"")"),"Those who say about us that we do 'Sharia treatment', brainwash with religion - don't they tremble before saying this?")</f>
        <v>Those who say about us that we do 'Sharia treatment', brainwash with religion - don't they tremble before saying this?</v>
      </c>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6" x14ac:dyDescent="0.3">
      <c r="A607" s="19" t="s">
        <v>3</v>
      </c>
      <c r="B607" s="26" t="s">
        <v>612</v>
      </c>
      <c r="C607" s="2" t="str">
        <f ca="1">IFERROR(__xludf.DUMMYFUNCTION("GOOGLETRANSLATE(B607, ""bn"", ""en"")"),"Every religion shows the path of human welfare and peace, so one should lead a peaceful life by maintaining non-violence and harmony.")</f>
        <v>Every religion shows the path of human welfare and peace, so one should lead a peaceful life by maintaining non-violence and harmony.</v>
      </c>
      <c r="D607" s="7"/>
      <c r="E607" s="7"/>
      <c r="F607" s="7"/>
      <c r="G607" s="7"/>
      <c r="H607" s="5"/>
      <c r="I607" s="5"/>
      <c r="J607" s="5"/>
      <c r="K607" s="5"/>
      <c r="L607" s="5"/>
      <c r="M607" s="5"/>
      <c r="N607" s="5"/>
      <c r="O607" s="5"/>
      <c r="P607" s="5"/>
      <c r="Q607" s="5"/>
      <c r="R607" s="5"/>
      <c r="S607" s="5"/>
      <c r="T607" s="5"/>
      <c r="U607" s="5"/>
      <c r="V607" s="5"/>
      <c r="W607" s="5"/>
      <c r="X607" s="5"/>
      <c r="Y607" s="5"/>
      <c r="Z607" s="5"/>
    </row>
    <row r="608" spans="1:26" ht="15.6" x14ac:dyDescent="0.3">
      <c r="A608" s="19" t="s">
        <v>8</v>
      </c>
      <c r="B608" s="26" t="s">
        <v>613</v>
      </c>
      <c r="C608" s="2" t="str">
        <f ca="1">IFERROR(__xludf.DUMMYFUNCTION("GOOGLETRANSLATE(B608, ""bn"", ""en"")"),"After the sentence, Hindus were attacked in different parts of the country. Hindu property was looted, Hindu houses were burnt to ashes and Hindu temples were desecrated and set on fire.")</f>
        <v>After the sentence, Hindus were attacked in different parts of the country. Hindu property was looted, Hindu houses were burnt to ashes and Hindu temples were desecrated and set on fire.</v>
      </c>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6" x14ac:dyDescent="0.3">
      <c r="A609" s="19" t="s">
        <v>8</v>
      </c>
      <c r="B609" s="26" t="s">
        <v>614</v>
      </c>
      <c r="C609" s="2" t="str">
        <f ca="1">IFERROR(__xludf.DUMMYFUNCTION("GOOGLETRANSLATE(B609, ""bn"", ""en"")"),"The Ramu violence of 2012 refers to a series of attacks on Buddhist monasteries, temples and houses in the midnight of 29 September 2012 by local mobs in Ramu upazila of Cox's Bazar district, Bangladesh.")</f>
        <v>The Ramu violence of 2012 refers to a series of attacks on Buddhist monasteries, temples and houses in the midnight of 29 September 2012 by local mobs in Ramu upazila of Cox's Bazar district, Bangladesh.</v>
      </c>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6" x14ac:dyDescent="0.3">
      <c r="A610" s="18" t="s">
        <v>5</v>
      </c>
      <c r="B610" s="24" t="s">
        <v>615</v>
      </c>
      <c r="C610" s="2" t="str">
        <f ca="1">IFERROR(__xludf.DUMMYFUNCTION("GOOGLETRANSLATE(B610, ""bn"", ""en"")"),"In February 2019, a group revoked the citizenship of minorities; 59 died due to illness and poverty.")</f>
        <v>In February 2019, a group revoked the citizenship of minorities; 59 died due to illness and poverty.</v>
      </c>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6" x14ac:dyDescent="0.3">
      <c r="A611" s="18" t="s">
        <v>8</v>
      </c>
      <c r="B611" s="25" t="s">
        <v>616</v>
      </c>
      <c r="C611" s="2" t="str">
        <f ca="1">IFERROR(__xludf.DUMMYFUNCTION("GOOGLETRANSLATE(B611, ""bn"", ""en"")"),"In his book, the professor debunks this myth about Buddhist-Muslim relations. He rejects the notion that Buddhists were oppressed by Muslim commanders and rulers.")</f>
        <v>In his book, the professor debunks this myth about Buddhist-Muslim relations. He rejects the notion that Buddhists were oppressed by Muslim commanders and rulers.</v>
      </c>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6" x14ac:dyDescent="0.3">
      <c r="A612" s="19" t="s">
        <v>3</v>
      </c>
      <c r="B612" s="26" t="s">
        <v>617</v>
      </c>
      <c r="C612" s="2" t="str">
        <f ca="1">IFERROR(__xludf.DUMMYFUNCTION("GOOGLETRANSLATE(B612, ""bn"", ""en"")"),"The bank of Nanua Dighi located in Comilla town is a very familiar and favorite place of mine. In the country, I used to walk regularly in the afternoon on the bank of Nanua Dighi. Around the Dighi, Hindus and Muslims are united. Live peacefully with ever"&amp;"yone's religion. I always saw a friendly atmosphere.")</f>
        <v>The bank of Nanua Dighi located in Comilla town is a very familiar and favorite place of mine. In the country, I used to walk regularly in the afternoon on the bank of Nanua Dighi. Around the Dighi, Hindus and Muslims are united. Live peacefully with everyone's religion. I always saw a friendly atmosphere.</v>
      </c>
      <c r="D612" s="7"/>
      <c r="E612" s="7"/>
      <c r="F612" s="7"/>
      <c r="G612" s="7"/>
      <c r="H612" s="7"/>
      <c r="I612" s="7"/>
      <c r="J612" s="5"/>
      <c r="K612" s="5"/>
      <c r="L612" s="5"/>
      <c r="M612" s="5"/>
      <c r="N612" s="5"/>
      <c r="O612" s="5"/>
      <c r="P612" s="5"/>
      <c r="Q612" s="5"/>
      <c r="R612" s="5"/>
      <c r="S612" s="5"/>
      <c r="T612" s="5"/>
      <c r="U612" s="5"/>
      <c r="V612" s="5"/>
      <c r="W612" s="5"/>
      <c r="X612" s="5"/>
      <c r="Y612" s="5"/>
      <c r="Z612" s="5"/>
    </row>
    <row r="613" spans="1:26" ht="15.6" x14ac:dyDescent="0.3">
      <c r="A613" s="18" t="s">
        <v>5</v>
      </c>
      <c r="B613" s="24" t="s">
        <v>618</v>
      </c>
      <c r="C613" s="2" t="str">
        <f ca="1">IFERROR(__xludf.DUMMYFUNCTION("GOOGLETRANSLATE(B613, ""bn"", ""en"")"),"Members of political parties set fire to the houses of minorities in religious agitation and they take refuge in the forest for their lives; At least 38 people were killed.")</f>
        <v>Members of political parties set fire to the houses of minorities in religious agitation and they take refuge in the forest for their lives; At least 38 people were killed.</v>
      </c>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6" x14ac:dyDescent="0.3">
      <c r="A614" s="18" t="s">
        <v>8</v>
      </c>
      <c r="B614" s="25" t="s">
        <v>619</v>
      </c>
      <c r="C614" s="2" t="str">
        <f ca="1">IFERROR(__xludf.DUMMYFUNCTION("GOOGLETRANSLATE(B614, ""bn"", ""en"")"),"Idols were vandalized and idols were set on fire in the dead of night at the public Durga temple and the Mitrabari family temple.")</f>
        <v>Idols were vandalized and idols were set on fire in the dead of night at the public Durga temple and the Mitrabari family temple.</v>
      </c>
      <c r="D614" s="2"/>
      <c r="E614" s="2"/>
      <c r="F614" s="4"/>
      <c r="G614" s="4"/>
      <c r="H614" s="3"/>
      <c r="I614" s="3"/>
      <c r="J614" s="3"/>
      <c r="K614" s="3"/>
      <c r="L614" s="3"/>
      <c r="M614" s="3"/>
      <c r="N614" s="3"/>
      <c r="O614" s="3"/>
      <c r="P614" s="3"/>
      <c r="Q614" s="3"/>
      <c r="R614" s="3"/>
      <c r="S614" s="3"/>
      <c r="T614" s="3"/>
      <c r="U614" s="3"/>
      <c r="V614" s="3"/>
      <c r="W614" s="3"/>
      <c r="X614" s="3"/>
      <c r="Y614" s="3"/>
      <c r="Z614" s="3"/>
    </row>
    <row r="615" spans="1:26" ht="15.6" x14ac:dyDescent="0.3">
      <c r="A615" s="18" t="s">
        <v>5</v>
      </c>
      <c r="B615" s="24" t="s">
        <v>620</v>
      </c>
      <c r="C615" s="2" t="str">
        <f ca="1">IFERROR(__xludf.DUMMYFUNCTION("GOOGLETRANSLATE(B615, ""bn"", ""en"")"),"45 people lost their lives in clashes due to religious hatred in Faridpur. Police stationed in the area and tried to control the situation but the violence did not stop. The government called upon the people to remain calm and religiously responsible. Man"&amp;"y of the affected minority families sought refuge due to lack of security.")</f>
        <v>45 people lost their lives in clashes due to religious hatred in Faridpur. Police stationed in the area and tried to control the situation but the violence did not stop. The government called upon the people to remain calm and religiously responsible. Many of the affected minority families sought refuge due to lack of security.</v>
      </c>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6" x14ac:dyDescent="0.3">
      <c r="A616" s="19" t="s">
        <v>8</v>
      </c>
      <c r="B616" s="26" t="s">
        <v>621</v>
      </c>
      <c r="C616" s="2" t="str">
        <f ca="1">IFERROR(__xludf.DUMMYFUNCTION("GOOGLETRANSLATE(B616, ""bn"", ""en"")"),"Rana Dasgupta, General Secretary of Hindu-Buddhist-Christian Unity Council, said that the attack was carried out with a microphone led by an Imam.")</f>
        <v>Rana Dasgupta, General Secretary of Hindu-Buddhist-Christian Unity Council, said that the attack was carried out with a microphone led by an Imam.</v>
      </c>
      <c r="D616" s="7"/>
      <c r="E616" s="7"/>
      <c r="F616" s="7"/>
      <c r="G616" s="7"/>
      <c r="H616" s="7"/>
      <c r="I616" s="5"/>
      <c r="J616" s="5"/>
      <c r="K616" s="5"/>
      <c r="L616" s="5"/>
      <c r="M616" s="5"/>
      <c r="N616" s="5"/>
      <c r="O616" s="5"/>
      <c r="P616" s="5"/>
      <c r="Q616" s="5"/>
      <c r="R616" s="5"/>
      <c r="S616" s="5"/>
      <c r="T616" s="5"/>
      <c r="U616" s="5"/>
      <c r="V616" s="5"/>
      <c r="W616" s="5"/>
      <c r="X616" s="5"/>
      <c r="Y616" s="5"/>
      <c r="Z616" s="5"/>
    </row>
    <row r="617" spans="1:26" ht="15.6" x14ac:dyDescent="0.3">
      <c r="A617" s="18" t="s">
        <v>3</v>
      </c>
      <c r="B617" s="25" t="s">
        <v>622</v>
      </c>
      <c r="C617" s="2" t="str">
        <f ca="1">IFERROR(__xludf.DUMMYFUNCTION("GOOGLETRANSLATE(B617, ""bn"", ""en"")"),"From the beginning of Islam, Muhammad instilled in his followers a sense of brotherhood and bonds of faith, both of which helped to foster a sense of closeness among them as a nascent community in Mecca. was accentuated by their experience of oppression.")</f>
        <v>From the beginning of Islam, Muhammad instilled in his followers a sense of brotherhood and bonds of faith, both of which helped to foster a sense of closeness among them as a nascent community in Mecca. was accentuated by their experience of oppression.</v>
      </c>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6" x14ac:dyDescent="0.3">
      <c r="A618" s="18" t="s">
        <v>5</v>
      </c>
      <c r="B618" s="24" t="s">
        <v>623</v>
      </c>
      <c r="C618" s="2" t="str">
        <f ca="1">IFERROR(__xludf.DUMMYFUNCTION("GOOGLETRANSLATE(B618, ""bn"", ""en"")"),"40 people lost their lives in religious riots in Rajbari. The police tried to control the situation but the violence did not stop. The government urges everyone to remain calm and responsible. Many minority families seek shelter for safety.")</f>
        <v>40 people lost their lives in religious riots in Rajbari. The police tried to control the situation but the violence did not stop. The government urges everyone to remain calm and responsible. Many minority families seek shelter for safety.</v>
      </c>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6" x14ac:dyDescent="0.3">
      <c r="A619" s="18" t="s">
        <v>23</v>
      </c>
      <c r="B619" s="25" t="s">
        <v>624</v>
      </c>
      <c r="C619" s="2" t="str">
        <f ca="1">IFERROR(__xludf.DUMMYFUNCTION("GOOGLETRANSLATE(B619, ""bn"", ""en"")"),"The common people were disgusted by the millennia-long enmity between Hindus and Buddhists – however, through the efforts of Sufi saints and Muslim pioneers, Islam was able to make permanent inroads into the region.")</f>
        <v>The common people were disgusted by the millennia-long enmity between Hindus and Buddhists – however, through the efforts of Sufi saints and Muslim pioneers, Islam was able to make permanent inroads into the region.</v>
      </c>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6" x14ac:dyDescent="0.3">
      <c r="A620" s="18" t="s">
        <v>5</v>
      </c>
      <c r="B620" s="25" t="s">
        <v>625</v>
      </c>
      <c r="C620" s="2" t="str">
        <f ca="1">IFERROR(__xludf.DUMMYFUNCTION("GOOGLETRANSLATE(B620, ""bn"", ""en"")"),"Looting, torture and killing of Hindu shops by Muslims started during Durga Puja in Sahapur.")</f>
        <v>Looting, torture and killing of Hindu shops by Muslims started during Durga Puja in Sahapur.</v>
      </c>
      <c r="D620" s="2"/>
      <c r="E620" s="2"/>
      <c r="F620" s="2"/>
      <c r="G620" s="2"/>
      <c r="H620" s="5"/>
      <c r="I620" s="5"/>
      <c r="J620" s="5"/>
      <c r="K620" s="5"/>
      <c r="L620" s="5"/>
      <c r="M620" s="5"/>
      <c r="N620" s="5"/>
      <c r="O620" s="5"/>
      <c r="P620" s="5"/>
      <c r="Q620" s="5"/>
      <c r="R620" s="5"/>
      <c r="S620" s="5"/>
      <c r="T620" s="5"/>
      <c r="U620" s="5"/>
      <c r="V620" s="5"/>
      <c r="W620" s="5"/>
      <c r="X620" s="5"/>
      <c r="Y620" s="5"/>
      <c r="Z620" s="5"/>
    </row>
    <row r="621" spans="1:26" ht="15.6" x14ac:dyDescent="0.3">
      <c r="A621" s="18" t="s">
        <v>5</v>
      </c>
      <c r="B621" s="24" t="s">
        <v>626</v>
      </c>
      <c r="C621" s="2" t="str">
        <f ca="1">IFERROR(__xludf.DUMMYFUNCTION("GOOGLETRANSLATE(B621, ""bn"", ""en"")"),"Due to religious violence, the houses of all men and women in a village were burnt down, killing 34 people.")</f>
        <v>Due to religious violence, the houses of all men and women in a village were burnt down, killing 34 people.</v>
      </c>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6" x14ac:dyDescent="0.3">
      <c r="A622" s="19" t="s">
        <v>8</v>
      </c>
      <c r="B622" s="26" t="s">
        <v>627</v>
      </c>
      <c r="C622" s="2" t="str">
        <f ca="1">IFERROR(__xludf.DUMMYFUNCTION("GOOGLETRANSLATE(B622, ""bn"", ""en"")"),"In Mymensingh, a group of fundamentalists sparked religious tensions by attacking a local temple, beating up priests and vandalizing idols.")</f>
        <v>In Mymensingh, a group of fundamentalists sparked religious tensions by attacking a local temple, beating up priests and vandalizing idols.</v>
      </c>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6" x14ac:dyDescent="0.3">
      <c r="A623" s="19" t="s">
        <v>5</v>
      </c>
      <c r="B623" s="26" t="s">
        <v>628</v>
      </c>
      <c r="C623" s="2" t="str">
        <f ca="1">IFERROR(__xludf.DUMMYFUNCTION("GOOGLETRANSLATE(B623, ""bn"", ""en"")"),"After the clashes in Chaumuhani, the protesters attacked shops and houses of the Hindu community, in which one Jatan Kumar Saha was killed. Police arrested three people in the incident.")</f>
        <v>After the clashes in Chaumuhani, the protesters attacked shops and houses of the Hindu community, in which one Jatan Kumar Saha was killed. Police arrested three people in the incident.</v>
      </c>
      <c r="D623" s="7"/>
      <c r="E623" s="7"/>
      <c r="F623" s="7"/>
      <c r="G623" s="7"/>
      <c r="H623" s="7"/>
      <c r="I623" s="7"/>
      <c r="J623" s="7"/>
      <c r="K623" s="7"/>
      <c r="L623" s="7"/>
      <c r="M623" s="7"/>
      <c r="N623" s="5"/>
      <c r="O623" s="5"/>
      <c r="P623" s="5"/>
      <c r="Q623" s="5"/>
      <c r="R623" s="5"/>
      <c r="S623" s="5"/>
      <c r="T623" s="5"/>
      <c r="U623" s="5"/>
      <c r="V623" s="5"/>
      <c r="W623" s="5"/>
      <c r="X623" s="5"/>
      <c r="Y623" s="5"/>
      <c r="Z623" s="5"/>
    </row>
    <row r="624" spans="1:26" ht="15.6" x14ac:dyDescent="0.3">
      <c r="A624" s="19" t="s">
        <v>5</v>
      </c>
      <c r="B624" s="26" t="s">
        <v>629</v>
      </c>
      <c r="C624" s="2" t="str">
        <f ca="1">IFERROR(__xludf.DUMMYFUNCTION("GOOGLETRANSLATE(B624, ""bn"", ""en"")"),"Boko Haram has killed many people in violence in the name of religious extremism, which is a terrible example of extremism.")</f>
        <v>Boko Haram has killed many people in violence in the name of religious extremism, which is a terrible example of extremism.</v>
      </c>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6" x14ac:dyDescent="0.3">
      <c r="A625" s="18" t="s">
        <v>5</v>
      </c>
      <c r="B625" s="24" t="s">
        <v>630</v>
      </c>
      <c r="C625" s="2" t="str">
        <f ca="1">IFERROR(__xludf.DUMMYFUNCTION("GOOGLETRANSLATE(B625, ""bn"", ""en"")"),"Religious tensions in Natore led to clashes between Hindus and Muslims, in which 46 people were killed. The police tried to control the situation but the clash did not stop. The government advises everyone to remain calm and responsible. Many minority fam"&amp;"ilies leave the village for security reasons.")</f>
        <v>Religious tensions in Natore led to clashes between Hindus and Muslims, in which 46 people were killed. The police tried to control the situation but the clash did not stop. The government advises everyone to remain calm and responsible. Many minority families leave the village for security reasons.</v>
      </c>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6" x14ac:dyDescent="0.3">
      <c r="A626" s="18" t="s">
        <v>23</v>
      </c>
      <c r="B626" s="25" t="s">
        <v>631</v>
      </c>
      <c r="C626" s="2" t="str">
        <f ca="1">IFERROR(__xludf.DUMMYFUNCTION("GOOGLETRANSLATE(B626, ""bn"", ""en"")"),"Eve teasing, rape, murder is not a sin, but homosexuality is a sin. What kind of judgment in the name of religion, the definition of sin should be changed as per convenience.")</f>
        <v>Eve teasing, rape, murder is not a sin, but homosexuality is a sin. What kind of judgment in the name of religion, the definition of sin should be changed as per convenience.</v>
      </c>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6" x14ac:dyDescent="0.3">
      <c r="A627" s="19" t="s">
        <v>23</v>
      </c>
      <c r="B627" s="26" t="s">
        <v>632</v>
      </c>
      <c r="C627" s="2" t="str">
        <f ca="1">IFERROR(__xludf.DUMMYFUNCTION("GOOGLETRANSLATE(B627, ""bn"", ""en"")"),"In a country where the illegitimate prime minister says that religion is a festival for everyone, and he misinterprets the Holy Quran (Lakum dvinukum walia dvin) and says that religion is a festival for everyone, one can expect something better from that "&amp;"country. Stupidity, I pray to Allah Almighty to give us the correct understanding Amin Chumma Amin.")</f>
        <v>In a country where the illegitimate prime minister says that religion is a festival for everyone, and he misinterprets the Holy Quran (Lakum dvinukum walia dvin) and says that religion is a festival for everyone, one can expect something better from that country. Stupidity, I pray to Allah Almighty to give us the correct understanding Amin Chumma Amin.</v>
      </c>
      <c r="D627" s="7"/>
      <c r="E627" s="7"/>
      <c r="F627" s="7"/>
      <c r="G627" s="7"/>
      <c r="H627" s="7"/>
      <c r="I627" s="7"/>
      <c r="J627" s="7"/>
      <c r="K627" s="7"/>
      <c r="L627" s="7"/>
      <c r="M627" s="7"/>
      <c r="N627" s="5"/>
      <c r="O627" s="5"/>
      <c r="P627" s="5"/>
      <c r="Q627" s="5"/>
      <c r="R627" s="5"/>
      <c r="S627" s="5"/>
      <c r="T627" s="5"/>
      <c r="U627" s="5"/>
      <c r="V627" s="5"/>
      <c r="W627" s="5"/>
      <c r="X627" s="5"/>
      <c r="Y627" s="5"/>
      <c r="Z627" s="5"/>
    </row>
    <row r="628" spans="1:26" ht="15.6" x14ac:dyDescent="0.3">
      <c r="A628" s="18" t="s">
        <v>5</v>
      </c>
      <c r="B628" s="24" t="s">
        <v>633</v>
      </c>
      <c r="C628" s="2" t="str">
        <f ca="1">IFERROR(__xludf.DUMMYFUNCTION("GOOGLETRANSLATE(B628, ""bn"", ""en"")"),"A journalist was publicly killed due to religious hatred, 10 people were killed in protests.")</f>
        <v>A journalist was publicly killed due to religious hatred, 10 people were killed in protests.</v>
      </c>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6" x14ac:dyDescent="0.3">
      <c r="A629" s="18" t="s">
        <v>8</v>
      </c>
      <c r="B629" s="26" t="s">
        <v>634</v>
      </c>
      <c r="C629" s="2" t="str">
        <f ca="1">IFERROR(__xludf.DUMMYFUNCTION("GOOGLETRANSLATE(B629, ""bn"", ""en"")"),"Ever since the advent of your religion, terror jihad riots have increased in the world. Before there was no history of civilization. Division and violence are being spread today in the name of this religion in our country.")</f>
        <v>Ever since the advent of your religion, terror jihad riots have increased in the world. Before there was no history of civilization. Division and violence are being spread today in the name of this religion in our country.</v>
      </c>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6" x14ac:dyDescent="0.3">
      <c r="A630" s="18" t="s">
        <v>5</v>
      </c>
      <c r="B630" s="25" t="s">
        <v>635</v>
      </c>
      <c r="C630" s="2" t="str">
        <f ca="1">IFERROR(__xludf.DUMMYFUNCTION("GOOGLETRANSLATE(B630, ""bn"", ""en"")"),"13 people of Hindu community were raped, 10 gang rape victims, three people killed after rape, 19 attempted rapes, 95 people converted, 21 people tried to convert, 63 religious sentiments were hurt in the country.")</f>
        <v>13 people of Hindu community were raped, 10 gang rape victims, three people killed after rape, 19 attempted rapes, 95 people converted, 21 people tried to convert, 63 religious sentiments were hurt in the country.</v>
      </c>
      <c r="D630" s="2"/>
      <c r="E630" s="2"/>
      <c r="F630" s="2"/>
      <c r="G630" s="2"/>
      <c r="H630" s="3"/>
      <c r="I630" s="3"/>
      <c r="J630" s="3"/>
      <c r="K630" s="3"/>
      <c r="L630" s="3"/>
      <c r="M630" s="3"/>
      <c r="N630" s="3"/>
      <c r="O630" s="3"/>
      <c r="P630" s="3"/>
      <c r="Q630" s="3"/>
      <c r="R630" s="3"/>
      <c r="S630" s="3"/>
      <c r="T630" s="3"/>
      <c r="U630" s="3"/>
      <c r="V630" s="3"/>
      <c r="W630" s="3"/>
      <c r="X630" s="3"/>
      <c r="Y630" s="3"/>
      <c r="Z630" s="3"/>
    </row>
    <row r="631" spans="1:26" ht="15.6" x14ac:dyDescent="0.3">
      <c r="A631" s="19" t="s">
        <v>5</v>
      </c>
      <c r="B631" s="26" t="s">
        <v>636</v>
      </c>
      <c r="C631" s="2" t="str">
        <f ca="1">IFERROR(__xludf.DUMMYFUNCTION("GOOGLETRANSLATE(B631, ""bn"", ""en"")"),"Both men and women were shot dead and their houses set on fire. The few survivors left the bodies in a mass grave the next morning. [4] About 350 Hindus of Bashgari village were killed.")</f>
        <v>Both men and women were shot dead and their houses set on fire. The few survivors left the bodies in a mass grave the next morning. [4] About 350 Hindus of Bashgari village were killed.</v>
      </c>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6" x14ac:dyDescent="0.3">
      <c r="A632" s="19" t="s">
        <v>3</v>
      </c>
      <c r="B632" s="26" t="s">
        <v>637</v>
      </c>
      <c r="C632" s="2" t="str">
        <f ca="1">IFERROR(__xludf.DUMMYFUNCTION("GOOGLETRANSLATE(B632, ""bn"", ""en"")"),"Does your religion have any advantages that other religions have? Does your religion allow wrongdoing?")</f>
        <v>Does your religion have any advantages that other religions have? Does your religion allow wrongdoing?</v>
      </c>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6" x14ac:dyDescent="0.3">
      <c r="A633" s="18" t="s">
        <v>5</v>
      </c>
      <c r="B633" s="25" t="s">
        <v>638</v>
      </c>
      <c r="C633" s="2" t="str">
        <f ca="1">IFERROR(__xludf.DUMMYFUNCTION("GOOGLETRANSLATE(B633, ""bn"", ""en"")"),"Chandpur's Hajiganj is terrible, at this moment 4 brothers have been martyred, the condition of many is alarming due to the insult of the Quran, the Hajiganj police of Chandpur are chasing the Tawhidi crowd.")</f>
        <v>Chandpur's Hajiganj is terrible, at this moment 4 brothers have been martyred, the condition of many is alarming due to the insult of the Quran, the Hajiganj police of Chandpur are chasing the Tawhidi crowd.</v>
      </c>
      <c r="D633" s="2"/>
      <c r="E633" s="2"/>
      <c r="F633" s="2"/>
      <c r="G633" s="2"/>
      <c r="H633" s="3"/>
      <c r="I633" s="3"/>
      <c r="J633" s="3"/>
      <c r="K633" s="3"/>
      <c r="L633" s="3"/>
      <c r="M633" s="3"/>
      <c r="N633" s="3"/>
      <c r="O633" s="3"/>
      <c r="P633" s="3"/>
      <c r="Q633" s="3"/>
      <c r="R633" s="3"/>
      <c r="S633" s="3"/>
      <c r="T633" s="3"/>
      <c r="U633" s="3"/>
      <c r="V633" s="3"/>
      <c r="W633" s="3"/>
      <c r="X633" s="3"/>
      <c r="Y633" s="3"/>
      <c r="Z633" s="3"/>
    </row>
    <row r="634" spans="1:26" ht="15.6" x14ac:dyDescent="0.3">
      <c r="A634" s="19" t="s">
        <v>5</v>
      </c>
      <c r="B634" s="26" t="s">
        <v>639</v>
      </c>
      <c r="C634" s="2" t="str">
        <f ca="1">IFERROR(__xludf.DUMMYFUNCTION("GOOGLETRANSLATE(B634, ""bn"", ""en"")"),"They killed the male members of Chandipur and raped the women. Burn their homes to ashes. Hundreds of Santals and Hindus were killed in this way. Hundreds of other poor farmers were arrested, including Ila Mitra, one of the organizers of the Tevaga moveme"&amp;"nt in Rohanpur.")</f>
        <v>They killed the male members of Chandipur and raped the women. Burn their homes to ashes. Hundreds of Santals and Hindus were killed in this way. Hundreds of other poor farmers were arrested, including Ila Mitra, one of the organizers of the Tevaga movement in Rohanpur.</v>
      </c>
      <c r="D634" s="7"/>
      <c r="E634" s="7"/>
      <c r="F634" s="7"/>
      <c r="G634" s="7"/>
      <c r="H634" s="7"/>
      <c r="I634" s="5"/>
      <c r="J634" s="5"/>
      <c r="K634" s="5"/>
      <c r="L634" s="5"/>
      <c r="M634" s="5"/>
      <c r="N634" s="5"/>
      <c r="O634" s="5"/>
      <c r="P634" s="5"/>
      <c r="Q634" s="5"/>
      <c r="R634" s="5"/>
      <c r="S634" s="5"/>
      <c r="T634" s="5"/>
      <c r="U634" s="5"/>
      <c r="V634" s="5"/>
      <c r="W634" s="5"/>
      <c r="X634" s="5"/>
      <c r="Y634" s="5"/>
      <c r="Z634" s="5"/>
    </row>
    <row r="635" spans="1:26" ht="15.6" x14ac:dyDescent="0.3">
      <c r="A635" s="18" t="s">
        <v>5</v>
      </c>
      <c r="B635" s="24" t="s">
        <v>640</v>
      </c>
      <c r="C635" s="2" t="str">
        <f ca="1">IFERROR(__xludf.DUMMYFUNCTION("GOOGLETRANSLATE(B635, ""bn"", ""en"")"),"In April 2016, a doctor was hacked to death over religious dissent, killing 14 people.")</f>
        <v>In April 2016, a doctor was hacked to death over religious dissent, killing 14 people.</v>
      </c>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6" x14ac:dyDescent="0.3">
      <c r="A636" s="18" t="s">
        <v>8</v>
      </c>
      <c r="B636" s="24" t="s">
        <v>641</v>
      </c>
      <c r="C636" s="2" t="str">
        <f ca="1">IFERROR(__xludf.DUMMYFUNCTION("GOOGLETRANSLATE(B636, ""bn"", ""en"")"),"On April 12, 2023, miscreants attacked the Ramakrishna Ashram of Damurhuda police station in Chuadanga district, smashed the idols of Radhakrishna on the altar and set fire to the prayer room.")</f>
        <v>On April 12, 2023, miscreants attacked the Ramakrishna Ashram of Damurhuda police station in Chuadanga district, smashed the idols of Radhakrishna on the altar and set fire to the prayer room.</v>
      </c>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6" x14ac:dyDescent="0.3">
      <c r="A637" s="18" t="s">
        <v>23</v>
      </c>
      <c r="B637" s="25" t="s">
        <v>642</v>
      </c>
      <c r="C637" s="2" t="str">
        <f ca="1">IFERROR(__xludf.DUMMYFUNCTION("GOOGLETRANSLATE(B637, ""bn"", ""en"")"),"By preaching the verse you are discouraging people from protesting. They are creating obstacles to awaken the faith of people. You want to make people understand by this verse that, look brother, you don't need to object, there is no problem in whatever H"&amp;"indus do with our Quran, because Allah is the guardian of the Quran.")</f>
        <v>By preaching the verse you are discouraging people from protesting. They are creating obstacles to awaken the faith of people. You want to make people understand by this verse that, look brother, you don't need to object, there is no problem in whatever Hindus do with our Quran, because Allah is the guardian of the Quran.</v>
      </c>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6" x14ac:dyDescent="0.3">
      <c r="A638" s="18" t="s">
        <v>23</v>
      </c>
      <c r="B638" s="25" t="s">
        <v>643</v>
      </c>
      <c r="C638" s="2" t="str">
        <f ca="1">IFERROR(__xludf.DUMMYFUNCTION("GOOGLETRANSLATE(B638, ""bn"", ""en"")"),"If you get the true religion you will go...and the saint himself does not know..the name of his scriptures..what else will he preach.")</f>
        <v>If you get the true religion you will go...and the saint himself does not know..the name of his scriptures..what else will he preach.</v>
      </c>
      <c r="D638" s="2"/>
      <c r="E638" s="2"/>
      <c r="F638" s="2"/>
      <c r="G638" s="2"/>
      <c r="H638" s="5"/>
      <c r="I638" s="5"/>
      <c r="J638" s="5"/>
      <c r="K638" s="5"/>
      <c r="L638" s="5"/>
      <c r="M638" s="5"/>
      <c r="N638" s="5"/>
      <c r="O638" s="5"/>
      <c r="P638" s="5"/>
      <c r="Q638" s="5"/>
      <c r="R638" s="5"/>
      <c r="S638" s="5"/>
      <c r="T638" s="5"/>
      <c r="U638" s="5"/>
      <c r="V638" s="5"/>
      <c r="W638" s="5"/>
      <c r="X638" s="5"/>
      <c r="Y638" s="5"/>
      <c r="Z638" s="5"/>
    </row>
    <row r="639" spans="1:26" ht="15.6" x14ac:dyDescent="0.3">
      <c r="A639" s="18" t="s">
        <v>5</v>
      </c>
      <c r="B639" s="24" t="s">
        <v>644</v>
      </c>
      <c r="C639" s="2" t="str">
        <f ca="1">IFERROR(__xludf.DUMMYFUNCTION("GOOGLETRANSLATE(B639, ""bn"", ""en"")"),"43 people of minority community were killed in religious violence in Kishoreganj. The attackers looted their property and demolished the temple.")</f>
        <v>43 people of minority community were killed in religious violence in Kishoreganj. The attackers looted their property and demolished the temple.</v>
      </c>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6" x14ac:dyDescent="0.3">
      <c r="A640" s="18" t="s">
        <v>5</v>
      </c>
      <c r="B640" s="24" t="s">
        <v>645</v>
      </c>
      <c r="C640" s="2" t="str">
        <f ca="1">IFERROR(__xludf.DUMMYFUNCTION("GOOGLETRANSLATE(B640, ""bn"", ""en"")"),"In January 2018, a religious group revoked the citizenship of minorities; 56 died of poverty and illness.")</f>
        <v>In January 2018, a religious group revoked the citizenship of minorities; 56 died of poverty and illness.</v>
      </c>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6" x14ac:dyDescent="0.3">
      <c r="A641" s="18" t="s">
        <v>5</v>
      </c>
      <c r="B641" s="25" t="s">
        <v>646</v>
      </c>
      <c r="C641" s="2" t="str">
        <f ca="1">IFERROR(__xludf.DUMMYFUNCTION("GOOGLETRANSLATE(B641, ""bn"", ""en"")"),"According to the National Hindu Mahasabha, 40 thousand 703 crimes occurred in 2020. 149 people were killed, 53 were raped, 2 thousand 125 families were forced to leave the country.")</f>
        <v>According to the National Hindu Mahasabha, 40 thousand 703 crimes occurred in 2020. 149 people were killed, 53 were raped, 2 thousand 125 families were forced to leave the country.</v>
      </c>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6" x14ac:dyDescent="0.3">
      <c r="A642" s="18" t="s">
        <v>23</v>
      </c>
      <c r="B642" s="25" t="s">
        <v>647</v>
      </c>
      <c r="C642" s="2" t="str">
        <f ca="1">IFERROR(__xludf.DUMMYFUNCTION("GOOGLETRANSLATE(B642, ""bn"", ""en"")"),"All religions are drawn to maintain neutrality while exemplifying religious fundamentalism. But the reality is that it applies to a particular religious community.")</f>
        <v>All religions are drawn to maintain neutrality while exemplifying religious fundamentalism. But the reality is that it applies to a particular religious community.</v>
      </c>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6" x14ac:dyDescent="0.3">
      <c r="A643" s="18" t="s">
        <v>5</v>
      </c>
      <c r="B643" s="24" t="s">
        <v>648</v>
      </c>
      <c r="C643" s="2" t="str">
        <f ca="1">IFERROR(__xludf.DUMMYFUNCTION("GOOGLETRANSLATE(B643, ""bn"", ""en"")"),"Children and the elderly were attacked during a religious prayer, and the bodies were thrown into the river to cover up the incident; A total of 33 people were killed.")</f>
        <v>Children and the elderly were attacked during a religious prayer, and the bodies were thrown into the river to cover up the incident; A total of 33 people were killed.</v>
      </c>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6" x14ac:dyDescent="0.3">
      <c r="A644" s="18" t="s">
        <v>8</v>
      </c>
      <c r="B644" s="24" t="s">
        <v>649</v>
      </c>
      <c r="C644" s="2" t="str">
        <f ca="1">IFERROR(__xludf.DUMMYFUNCTION("GOOGLETRANSLATE(B644, ""bn"", ""en"")"),"On 9 November 2023 miscreants entered Kalimandir in Mirzaganj of Patuakhali in the dark of night and poured kerosene on the idol and set it on fire.")</f>
        <v>On 9 November 2023 miscreants entered Kalimandir in Mirzaganj of Patuakhali in the dark of night and poured kerosene on the idol and set it on fire.</v>
      </c>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6" x14ac:dyDescent="0.3">
      <c r="A645" s="18" t="s">
        <v>5</v>
      </c>
      <c r="B645" s="24" t="s">
        <v>650</v>
      </c>
      <c r="C645" s="2" t="str">
        <f ca="1">IFERROR(__xludf.DUMMYFUNCTION("GOOGLETRANSLATE(B645, ""bn"", ""en"")"),"43 people were killed in religious riots in Madaripur. Police quickly cordoned off the area, while the government preached a message of peace and tolerance. Affected families seek shelter for safety.")</f>
        <v>43 people were killed in religious riots in Madaripur. Police quickly cordoned off the area, while the government preached a message of peace and tolerance. Affected families seek shelter for safety.</v>
      </c>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6" x14ac:dyDescent="0.3">
      <c r="A646" s="18" t="s">
        <v>5</v>
      </c>
      <c r="B646" s="24" t="s">
        <v>651</v>
      </c>
      <c r="C646" s="2" t="str">
        <f ca="1">IFERROR(__xludf.DUMMYFUNCTION("GOOGLETRANSLATE(B646, ""bn"", ""en"")"),"In March 2015, a Muslim professor was dismissed from the university for his religious beliefs. Police opened fire during student protests against him, killing at least 28 people.")</f>
        <v>In March 2015, a Muslim professor was dismissed from the university for his religious beliefs. Police opened fire during student protests against him, killing at least 28 people.</v>
      </c>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6" x14ac:dyDescent="0.3">
      <c r="A647" s="18" t="s">
        <v>3</v>
      </c>
      <c r="B647" s="25" t="s">
        <v>652</v>
      </c>
      <c r="C647" s="2" t="str">
        <f ca="1">IFERROR(__xludf.DUMMYFUNCTION("GOOGLETRANSLATE(B647, ""bn"", ""en"")"),"The Gita, Upanishads and Bhagavad Gita are important scriptures of Hinduism, which teach about spiritual growth and peace.")</f>
        <v>The Gita, Upanishads and Bhagavad Gita are important scriptures of Hinduism, which teach about spiritual growth and peace.</v>
      </c>
      <c r="D647" s="2"/>
      <c r="E647" s="2"/>
      <c r="F647" s="2"/>
      <c r="G647" s="2"/>
      <c r="H647" s="3"/>
      <c r="I647" s="3"/>
      <c r="J647" s="3"/>
      <c r="K647" s="3"/>
      <c r="L647" s="3"/>
      <c r="M647" s="3"/>
      <c r="N647" s="3"/>
      <c r="O647" s="3"/>
      <c r="P647" s="3"/>
      <c r="Q647" s="3"/>
      <c r="R647" s="3"/>
      <c r="S647" s="3"/>
      <c r="T647" s="3"/>
      <c r="U647" s="3"/>
      <c r="V647" s="3"/>
      <c r="W647" s="3"/>
      <c r="X647" s="3"/>
      <c r="Y647" s="3"/>
      <c r="Z647" s="3"/>
    </row>
    <row r="648" spans="1:26" ht="15.6" x14ac:dyDescent="0.3">
      <c r="A648" s="19" t="s">
        <v>23</v>
      </c>
      <c r="B648" s="26" t="s">
        <v>653</v>
      </c>
      <c r="C648" s="2" t="str">
        <f ca="1">IFERROR(__xludf.DUMMYFUNCTION("GOOGLETRANSLATE(B648, ""bn"", ""en"")"),"It is natural for fasting people to be moderate. Self-realization is desirable, why in a store with a camera? To harass people? Or to be viral?")</f>
        <v>It is natural for fasting people to be moderate. Self-realization is desirable, why in a store with a camera? To harass people? Or to be viral?</v>
      </c>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6" x14ac:dyDescent="0.3">
      <c r="A649" s="18" t="s">
        <v>23</v>
      </c>
      <c r="B649" s="25" t="s">
        <v>654</v>
      </c>
      <c r="C649" s="2" t="str">
        <f ca="1">IFERROR(__xludf.DUMMYFUNCTION("GOOGLETRANSLATE(B649, ""bn"", ""en"")"),"I find it difficult to say that all those who said these provocative words belong to Muslim names in the identity of Bap Dada.")</f>
        <v>I find it difficult to say that all those who said these provocative words belong to Muslim names in the identity of Bap Dada.</v>
      </c>
      <c r="D649" s="2"/>
      <c r="E649" s="2"/>
      <c r="F649" s="2"/>
      <c r="G649" s="2"/>
      <c r="H649" s="5"/>
      <c r="I649" s="5"/>
      <c r="J649" s="5"/>
      <c r="K649" s="5"/>
      <c r="L649" s="5"/>
      <c r="M649" s="5"/>
      <c r="N649" s="5"/>
      <c r="O649" s="5"/>
      <c r="P649" s="5"/>
      <c r="Q649" s="5"/>
      <c r="R649" s="5"/>
      <c r="S649" s="5"/>
      <c r="T649" s="5"/>
      <c r="U649" s="5"/>
      <c r="V649" s="5"/>
      <c r="W649" s="5"/>
      <c r="X649" s="5"/>
      <c r="Y649" s="5"/>
      <c r="Z649" s="5"/>
    </row>
    <row r="650" spans="1:26" ht="15.6" x14ac:dyDescent="0.3">
      <c r="A650" s="19" t="s">
        <v>8</v>
      </c>
      <c r="B650" s="26" t="s">
        <v>655</v>
      </c>
      <c r="C650" s="2" t="str">
        <f ca="1">IFERROR(__xludf.DUMMYFUNCTION("GOOGLETRANSLATE(B650, ""bn"", ""en"")"),"According to Governor Frederick Burrows, ""the looting of a market in the Ramganj police station after the public meeting was held was the immediate trigger for trouble"".[54] The businesses of Surendranath Bose and prominent Hindu Mahasabha leader Rajend"&amp;"ralal Roy Chowdhury were attacked.")</f>
        <v>According to Governor Frederick Burrows, "the looting of a market in the Ramganj police station after the public meeting was held was the immediate trigger for trouble".[54] The businesses of Surendranath Bose and prominent Hindu Mahasabha leader Rajendralal Roy Chowdhury were attacked.</v>
      </c>
      <c r="D650" s="7"/>
      <c r="E650" s="7"/>
      <c r="F650" s="5"/>
      <c r="G650" s="5"/>
      <c r="H650" s="5"/>
      <c r="I650" s="5"/>
      <c r="J650" s="5"/>
      <c r="K650" s="5"/>
      <c r="L650" s="5"/>
      <c r="M650" s="5"/>
      <c r="N650" s="5"/>
      <c r="O650" s="5"/>
      <c r="P650" s="5"/>
      <c r="Q650" s="5"/>
      <c r="R650" s="5"/>
      <c r="S650" s="5"/>
      <c r="T650" s="5"/>
      <c r="U650" s="5"/>
      <c r="V650" s="5"/>
      <c r="W650" s="5"/>
      <c r="X650" s="5"/>
      <c r="Y650" s="5"/>
      <c r="Z650" s="5"/>
    </row>
    <row r="651" spans="1:26" ht="15.6" x14ac:dyDescent="0.3">
      <c r="A651" s="18" t="s">
        <v>5</v>
      </c>
      <c r="B651" s="25" t="s">
        <v>656</v>
      </c>
      <c r="C651" s="2" t="str">
        <f ca="1">IFERROR(__xludf.DUMMYFUNCTION("GOOGLETRANSLATE(B651, ""bn"", ""en"")"),"The Goa Inquisition was conducted against forcibly converted Gupta Hindus. It records that at least 57 Goan Hindus were executed in the three hundred years beginning in 1560.")</f>
        <v>The Goa Inquisition was conducted against forcibly converted Gupta Hindus. It records that at least 57 Goan Hindus were executed in the three hundred years beginning in 1560.</v>
      </c>
      <c r="D651" s="2"/>
      <c r="E651" s="2"/>
      <c r="F651" s="2"/>
      <c r="G651" s="2"/>
      <c r="H651" s="3"/>
      <c r="I651" s="3"/>
      <c r="J651" s="3"/>
      <c r="K651" s="3"/>
      <c r="L651" s="3"/>
      <c r="M651" s="3"/>
      <c r="N651" s="3"/>
      <c r="O651" s="3"/>
      <c r="P651" s="3"/>
      <c r="Q651" s="3"/>
      <c r="R651" s="3"/>
      <c r="S651" s="3"/>
      <c r="T651" s="3"/>
      <c r="U651" s="3"/>
      <c r="V651" s="3"/>
      <c r="W651" s="3"/>
      <c r="X651" s="3"/>
      <c r="Y651" s="3"/>
      <c r="Z651" s="3"/>
    </row>
    <row r="652" spans="1:26" ht="15.6" x14ac:dyDescent="0.3">
      <c r="A652" s="18" t="s">
        <v>23</v>
      </c>
      <c r="B652" s="24" t="s">
        <v>657</v>
      </c>
      <c r="C652" s="2" t="str">
        <f ca="1">IFERROR(__xludf.DUMMYFUNCTION("GOOGLETRANSLATE(B652, ""bn"", ""en"")"),"Some members of the Buddhist community incite violence and hatred towards other religions by inciting religious riots.")</f>
        <v>Some members of the Buddhist community incite violence and hatred towards other religions by inciting religious riots.</v>
      </c>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6" x14ac:dyDescent="0.3">
      <c r="A653" s="19" t="s">
        <v>3</v>
      </c>
      <c r="B653" s="26" t="s">
        <v>658</v>
      </c>
      <c r="C653" s="2" t="str">
        <f ca="1">IFERROR(__xludf.DUMMYFUNCTION("GOOGLETRANSLATE(B653, ""bn"", ""en"")"),"Allah says in the Qur'an, man and jinn were created only for His worship, and we should love the great Prophet (PBUH) the most.")</f>
        <v>Allah says in the Qur'an, man and jinn were created only for His worship, and we should love the great Prophet (PBUH) the most.</v>
      </c>
      <c r="D653" s="7"/>
      <c r="E653" s="7"/>
      <c r="F653" s="7"/>
      <c r="G653" s="7"/>
      <c r="H653" s="7"/>
      <c r="I653" s="7"/>
      <c r="J653" s="7"/>
      <c r="K653" s="7"/>
      <c r="L653" s="5"/>
      <c r="M653" s="5"/>
      <c r="N653" s="5"/>
      <c r="O653" s="5"/>
      <c r="P653" s="5"/>
      <c r="Q653" s="5"/>
      <c r="R653" s="5"/>
      <c r="S653" s="5"/>
      <c r="T653" s="5"/>
      <c r="U653" s="5"/>
      <c r="V653" s="5"/>
      <c r="W653" s="5"/>
      <c r="X653" s="5"/>
      <c r="Y653" s="5"/>
      <c r="Z653" s="5"/>
    </row>
    <row r="654" spans="1:26" ht="15.6" x14ac:dyDescent="0.3">
      <c r="A654" s="18" t="s">
        <v>3</v>
      </c>
      <c r="B654" s="24" t="s">
        <v>659</v>
      </c>
      <c r="C654" s="2" t="str">
        <f ca="1">IFERROR(__xludf.DUMMYFUNCTION("GOOGLETRANSLATE(B654, ""bn"", ""en"")"),"Nonviolence and compassion are important teachings in Buddhism. Gautama Buddha called for showing equal kindness to all living beings.")</f>
        <v>Nonviolence and compassion are important teachings in Buddhism. Gautama Buddha called for showing equal kindness to all living beings.</v>
      </c>
      <c r="D654" s="3"/>
      <c r="E654" s="5"/>
      <c r="F654" s="5"/>
      <c r="G654" s="5"/>
      <c r="H654" s="5"/>
      <c r="I654" s="5"/>
      <c r="J654" s="5"/>
      <c r="K654" s="5"/>
      <c r="L654" s="5"/>
      <c r="M654" s="5"/>
      <c r="N654" s="5"/>
      <c r="O654" s="5"/>
      <c r="P654" s="5"/>
      <c r="Q654" s="5"/>
      <c r="R654" s="5"/>
      <c r="S654" s="5"/>
      <c r="T654" s="5"/>
      <c r="U654" s="5"/>
      <c r="V654" s="5"/>
      <c r="W654" s="5"/>
      <c r="X654" s="5"/>
      <c r="Y654" s="5"/>
      <c r="Z654" s="5"/>
    </row>
    <row r="655" spans="1:26" ht="15.6" x14ac:dyDescent="0.3">
      <c r="A655" s="19" t="s">
        <v>23</v>
      </c>
      <c r="B655" s="26" t="s">
        <v>660</v>
      </c>
      <c r="C655" s="2" t="str">
        <f ca="1">IFERROR(__xludf.DUMMYFUNCTION("GOOGLETRANSLATE(B655, ""bn"", ""en"")"),"Not a single one of such heinous organized crime has gone unpunished till date. Instead of bringing the real criminals under the law in these incidents, the minority Hindu community has been blamed for these incidents. We demand its strong condemnation an"&amp;"d exemplary punishment of those involved.")</f>
        <v>Not a single one of such heinous organized crime has gone unpunished till date. Instead of bringing the real criminals under the law in these incidents, the minority Hindu community has been blamed for these incidents. We demand its strong condemnation and exemplary punishment of those involved.</v>
      </c>
      <c r="D655" s="7"/>
      <c r="E655" s="7"/>
      <c r="F655" s="7"/>
      <c r="G655" s="7"/>
      <c r="H655" s="7"/>
      <c r="I655" s="5"/>
      <c r="J655" s="5"/>
      <c r="K655" s="5"/>
      <c r="L655" s="5"/>
      <c r="M655" s="5"/>
      <c r="N655" s="5"/>
      <c r="O655" s="5"/>
      <c r="P655" s="5"/>
      <c r="Q655" s="5"/>
      <c r="R655" s="5"/>
      <c r="S655" s="5"/>
      <c r="T655" s="5"/>
      <c r="U655" s="5"/>
      <c r="V655" s="5"/>
      <c r="W655" s="5"/>
      <c r="X655" s="5"/>
      <c r="Y655" s="5"/>
      <c r="Z655" s="5"/>
    </row>
    <row r="656" spans="1:26" ht="15.6" x14ac:dyDescent="0.3">
      <c r="A656" s="18" t="s">
        <v>23</v>
      </c>
      <c r="B656" s="25" t="s">
        <v>661</v>
      </c>
      <c r="C656" s="2" t="str">
        <f ca="1">IFERROR(__xludf.DUMMYFUNCTION("GOOGLETRANSLATE(B656, ""bn"", ""en"")"),"Hopefully, the administration will take the right decision by investigating the construction of the mosque on the land of Kantji temple, but nevertheless, through your post, you have shown that you are no less in the oil business that has been going on fo"&amp;"r ages.")</f>
        <v>Hopefully, the administration will take the right decision by investigating the construction of the mosque on the land of Kantji temple, but nevertheless, through your post, you have shown that you are no less in the oil business that has been going on for ages.</v>
      </c>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6" x14ac:dyDescent="0.3">
      <c r="A657" s="19" t="s">
        <v>3</v>
      </c>
      <c r="B657" s="26" t="s">
        <v>662</v>
      </c>
      <c r="C657" s="2" t="str">
        <f ca="1">IFERROR(__xludf.DUMMYFUNCTION("GOOGLETRANSLATE(B657, ""bn"", ""en"")"),"Jagannath is for Sanatan followers, iftar party is not held there, Muslims can do it elsewhere in Dubai.")</f>
        <v>Jagannath is for Sanatan followers, iftar party is not held there, Muslims can do it elsewhere in Dubai.</v>
      </c>
      <c r="D657" s="7"/>
      <c r="E657" s="7"/>
      <c r="F657" s="7"/>
      <c r="G657" s="5"/>
      <c r="H657" s="5"/>
      <c r="I657" s="5"/>
      <c r="J657" s="5"/>
      <c r="K657" s="5"/>
      <c r="L657" s="5"/>
      <c r="M657" s="5"/>
      <c r="N657" s="5"/>
      <c r="O657" s="5"/>
      <c r="P657" s="5"/>
      <c r="Q657" s="5"/>
      <c r="R657" s="5"/>
      <c r="S657" s="5"/>
      <c r="T657" s="5"/>
      <c r="U657" s="5"/>
      <c r="V657" s="5"/>
      <c r="W657" s="5"/>
      <c r="X657" s="5"/>
      <c r="Y657" s="5"/>
      <c r="Z657" s="5"/>
    </row>
    <row r="658" spans="1:26" ht="15.6" x14ac:dyDescent="0.3">
      <c r="A658" s="19" t="s">
        <v>8</v>
      </c>
      <c r="B658" s="26" t="s">
        <v>663</v>
      </c>
      <c r="C658" s="2" t="str">
        <f ca="1">IFERROR(__xludf.DUMMYFUNCTION("GOOGLETRANSLATE(B658, ""bn"", ""en"")"),"In 2020, anti-Islamic groups in Norway carried out provocative actions such as the public burning of Qurans.")</f>
        <v>In 2020, anti-Islamic groups in Norway carried out provocative actions such as the public burning of Qurans.</v>
      </c>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6" x14ac:dyDescent="0.3">
      <c r="A659" s="18" t="s">
        <v>23</v>
      </c>
      <c r="B659" s="24" t="s">
        <v>664</v>
      </c>
      <c r="C659" s="2" t="str">
        <f ca="1">IFERROR(__xludf.DUMMYFUNCTION("GOOGLETRANSLATE(B659, ""bn"", ""en"")"),"Extremist groups in the Muslim community are spreading religious extremism and creating hatred against other religions.")</f>
        <v>Extremist groups in the Muslim community are spreading religious extremism and creating hatred against other religions.</v>
      </c>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6" x14ac:dyDescent="0.3">
      <c r="A660" s="18" t="s">
        <v>8</v>
      </c>
      <c r="B660" s="25" t="s">
        <v>665</v>
      </c>
      <c r="C660" s="2" t="str">
        <f ca="1">IFERROR(__xludf.DUMMYFUNCTION("GOOGLETRANSLATE(B660, ""bn"", ""en"")"),"A fake Facebook account was created in the name of a member of the Hindu community and postings hurt religious sentiments which provoked Muslims and some Hindu houses were attacked.")</f>
        <v>A fake Facebook account was created in the name of a member of the Hindu community and postings hurt religious sentiments which provoked Muslims and some Hindu houses were attacked.</v>
      </c>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6" x14ac:dyDescent="0.3">
      <c r="A661" s="18" t="s">
        <v>23</v>
      </c>
      <c r="B661" s="25" t="s">
        <v>666</v>
      </c>
      <c r="C661" s="2" t="str">
        <f ca="1">IFERROR(__xludf.DUMMYFUNCTION("GOOGLETRANSLATE(B661, ""bn"", ""en"")"),"My classmate used to be religious, turned away from Islam after going to university to become an atheist. Even though he prays now, he is actually a hypocritical, anti-religious secular Muslim.")</f>
        <v>My classmate used to be religious, turned away from Islam after going to university to become an atheist. Even though he prays now, he is actually a hypocritical, anti-religious secular Muslim.</v>
      </c>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6" x14ac:dyDescent="0.3">
      <c r="A662" s="18" t="s">
        <v>23</v>
      </c>
      <c r="B662" s="24" t="s">
        <v>667</v>
      </c>
      <c r="C662" s="2" t="str">
        <f ca="1">IFERROR(__xludf.DUMMYFUNCTION("GOOGLETRANSLATE(B662, ""bn"", ""en"")"),"In the name of proselytizing, the Christians disrespected the indigenous religious culture and created religious unrest.")</f>
        <v>In the name of proselytizing, the Christians disrespected the indigenous religious culture and created religious unrest.</v>
      </c>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6" x14ac:dyDescent="0.3">
      <c r="A663" s="18" t="s">
        <v>23</v>
      </c>
      <c r="B663" s="25" t="s">
        <v>668</v>
      </c>
      <c r="C663" s="2" t="str">
        <f ca="1">IFERROR(__xludf.DUMMYFUNCTION("GOOGLETRANSLATE(B663, ""bn"", ""en"")"),"The Hindus want to declare the entire Bayezid Bostami hill in Chittagong as a place of pilgrimage, and the local Muslims of Sitakunda also vocally support them.")</f>
        <v>The Hindus want to declare the entire Bayezid Bostami hill in Chittagong as a place of pilgrimage, and the local Muslims of Sitakunda also vocally support them.</v>
      </c>
      <c r="D663" s="2"/>
      <c r="E663" s="2"/>
      <c r="F663" s="2"/>
      <c r="G663" s="2"/>
      <c r="H663" s="3"/>
      <c r="I663" s="3"/>
      <c r="J663" s="3"/>
      <c r="K663" s="3"/>
      <c r="L663" s="3"/>
      <c r="M663" s="3"/>
      <c r="N663" s="3"/>
      <c r="O663" s="3"/>
      <c r="P663" s="3"/>
      <c r="Q663" s="3"/>
      <c r="R663" s="3"/>
      <c r="S663" s="3"/>
      <c r="T663" s="3"/>
      <c r="U663" s="3"/>
      <c r="V663" s="3"/>
      <c r="W663" s="3"/>
      <c r="X663" s="3"/>
      <c r="Y663" s="3"/>
      <c r="Z663" s="3"/>
    </row>
    <row r="664" spans="1:26" ht="15.6" x14ac:dyDescent="0.3">
      <c r="A664" s="19" t="s">
        <v>8</v>
      </c>
      <c r="B664" s="26" t="s">
        <v>669</v>
      </c>
      <c r="C664" s="2" t="str">
        <f ca="1">IFERROR(__xludf.DUMMYFUNCTION("GOOGLETRANSLATE(B664, ""bn"", ""en"")"),"On Monday, the previous day the Babri Masjid in Ayodhya, Bangladesh was destroyed. The headlines of all Bengali and English dailies in Dhaka were centered on this issue.")</f>
        <v>On Monday, the previous day the Babri Masjid in Ayodhya, Bangladesh was destroyed. The headlines of all Bengali and English dailies in Dhaka were centered on this issue.</v>
      </c>
      <c r="D664" s="7"/>
      <c r="E664" s="7"/>
      <c r="F664" s="7"/>
      <c r="G664" s="7"/>
      <c r="H664" s="7"/>
      <c r="I664" s="7"/>
      <c r="J664" s="7"/>
      <c r="K664" s="7"/>
      <c r="L664" s="5"/>
      <c r="M664" s="5"/>
      <c r="N664" s="5"/>
      <c r="O664" s="5"/>
      <c r="P664" s="5"/>
      <c r="Q664" s="5"/>
      <c r="R664" s="5"/>
      <c r="S664" s="5"/>
      <c r="T664" s="5"/>
      <c r="U664" s="5"/>
      <c r="V664" s="5"/>
      <c r="W664" s="5"/>
      <c r="X664" s="5"/>
      <c r="Y664" s="5"/>
      <c r="Z664" s="5"/>
    </row>
    <row r="665" spans="1:26" ht="15.6" x14ac:dyDescent="0.3">
      <c r="A665" s="18" t="s">
        <v>5</v>
      </c>
      <c r="B665" s="24" t="s">
        <v>670</v>
      </c>
      <c r="C665" s="2" t="str">
        <f ca="1">IFERROR(__xludf.DUMMYFUNCTION("GOOGLETRANSLATE(B665, ""bn"", ""en"")"),"In Noakhali, 45 people lost their lives in clashes over religious disputes. As the police failed to control the situation, the government called for calm. Many minority families seek shelter for safety.")</f>
        <v>In Noakhali, 45 people lost their lives in clashes over religious disputes. As the police failed to control the situation, the government called for calm. Many minority families seek shelter for safety.</v>
      </c>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6" x14ac:dyDescent="0.3">
      <c r="A666" s="19" t="s">
        <v>23</v>
      </c>
      <c r="B666" s="26" t="s">
        <v>671</v>
      </c>
      <c r="C666" s="2" t="str">
        <f ca="1">IFERROR(__xludf.DUMMYFUNCTION("GOOGLETRANSLATE(B666, ""bn"", ""en"")"),"Three thousand Christian families are held hostage by a fundamentalist leader in Mujibnagar")</f>
        <v>Three thousand Christian families are held hostage by a fundamentalist leader in Mujibnagar</v>
      </c>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6" x14ac:dyDescent="0.3">
      <c r="A667" s="18" t="s">
        <v>8</v>
      </c>
      <c r="B667" s="26" t="s">
        <v>672</v>
      </c>
      <c r="C667" s="2" t="str">
        <f ca="1">IFERROR(__xludf.DUMMYFUNCTION("GOOGLETRANSLATE(B667, ""bn"", ""en"")"),"Shankheribazar was deserted. Army, Ansar and Razakars looted gold, utensils and furniture. Bihari Muslims occupied the entire area, entered every house and started living.")</f>
        <v>Shankheribazar was deserted. Army, Ansar and Razakars looted gold, utensils and furniture. Bihari Muslims occupied the entire area, entered every house and started living.</v>
      </c>
      <c r="D667" s="2"/>
      <c r="E667" s="2"/>
      <c r="F667" s="2"/>
      <c r="G667" s="2"/>
      <c r="H667" s="3"/>
      <c r="I667" s="3"/>
      <c r="J667" s="3"/>
      <c r="K667" s="3"/>
      <c r="L667" s="3"/>
      <c r="M667" s="3"/>
      <c r="N667" s="3"/>
      <c r="O667" s="3"/>
      <c r="P667" s="3"/>
      <c r="Q667" s="3"/>
      <c r="R667" s="3"/>
      <c r="S667" s="3"/>
      <c r="T667" s="3"/>
      <c r="U667" s="3"/>
      <c r="V667" s="3"/>
      <c r="W667" s="3"/>
      <c r="X667" s="3"/>
      <c r="Y667" s="3"/>
      <c r="Z667" s="3"/>
    </row>
    <row r="668" spans="1:26" ht="15.6" x14ac:dyDescent="0.3">
      <c r="A668" s="18" t="s">
        <v>5</v>
      </c>
      <c r="B668" s="24" t="s">
        <v>673</v>
      </c>
      <c r="C668" s="2" t="str">
        <f ca="1">IFERROR(__xludf.DUMMYFUNCTION("GOOGLETRANSLATE(B668, ""bn"", ""en"")"),"In a village in Barguna, a clash broke out as a result of long-standing tensions between Hindu and Muslim communities. The clashes killed 32 people and caused extensive property damage. Security forces were deployed to control the situation but it was dif"&amp;"ficult to bring the situation under control.")</f>
        <v>In a village in Barguna, a clash broke out as a result of long-standing tensions between Hindu and Muslim communities. The clashes killed 32 people and caused extensive property damage. Security forces were deployed to control the situation but it was difficult to bring the situation under control.</v>
      </c>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6" x14ac:dyDescent="0.3">
      <c r="A669" s="19" t="s">
        <v>5</v>
      </c>
      <c r="B669" s="26" t="s">
        <v>674</v>
      </c>
      <c r="C669" s="2" t="str">
        <f ca="1">IFERROR(__xludf.DUMMYFUNCTION("GOOGLETRANSLATE(B669, ""bn"", ""en"")"),"During 1992-1995, a region of Bangladesh saw a massacre against religious communities in which an estimated 100,000 people were killed.")</f>
        <v>During 1992-1995, a region of Bangladesh saw a massacre against religious communities in which an estimated 100,000 people were killed.</v>
      </c>
      <c r="D669" s="7"/>
      <c r="E669" s="7"/>
      <c r="F669" s="7"/>
      <c r="G669" s="7"/>
      <c r="H669" s="7"/>
      <c r="I669" s="7"/>
      <c r="J669" s="7"/>
      <c r="K669" s="5"/>
      <c r="L669" s="5"/>
      <c r="M669" s="5"/>
      <c r="N669" s="5"/>
      <c r="O669" s="5"/>
      <c r="P669" s="5"/>
      <c r="Q669" s="5"/>
      <c r="R669" s="5"/>
      <c r="S669" s="5"/>
      <c r="T669" s="5"/>
      <c r="U669" s="5"/>
      <c r="V669" s="5"/>
      <c r="W669" s="5"/>
      <c r="X669" s="5"/>
      <c r="Y669" s="5"/>
      <c r="Z669" s="5"/>
    </row>
    <row r="670" spans="1:26" ht="15.6" x14ac:dyDescent="0.3">
      <c r="A670" s="18" t="s">
        <v>8</v>
      </c>
      <c r="B670" s="25" t="s">
        <v>675</v>
      </c>
      <c r="C670" s="2" t="str">
        <f ca="1">IFERROR(__xludf.DUMMYFUNCTION("GOOGLETRANSLATE(B670, ""bn"", ""en"")"),"Searching for shrines in mosques, destroying Muslim architecture and erasing traditional names are heinous examples of religious vandalism, a deliberate attempt to erase Muslim history.")</f>
        <v>Searching for shrines in mosques, destroying Muslim architecture and erasing traditional names are heinous examples of religious vandalism, a deliberate attempt to erase Muslim history.</v>
      </c>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6" x14ac:dyDescent="0.3">
      <c r="A671" s="18" t="s">
        <v>23</v>
      </c>
      <c r="B671" s="25" t="s">
        <v>676</v>
      </c>
      <c r="C671" s="2" t="str">
        <f ca="1">IFERROR(__xludf.DUMMYFUNCTION("GOOGLETRANSLATE(B671, ""bn"", ""en"")"),"We do not insult the scriptures of Christians or other religions but why do you show audacity???")</f>
        <v>We do not insult the scriptures of Christians or other religions but why do you show audacity???</v>
      </c>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6" x14ac:dyDescent="0.3">
      <c r="A672" s="18" t="s">
        <v>23</v>
      </c>
      <c r="B672" s="24" t="s">
        <v>677</v>
      </c>
      <c r="C672" s="2" t="str">
        <f ca="1">IFERROR(__xludf.DUMMYFUNCTION("GOOGLETRANSLATE(B672, ""bn"", ""en"")"),"Many in the Hindu community harbor violent attitudes towards other religions and disdain their religious practices.")</f>
        <v>Many in the Hindu community harbor violent attitudes towards other religions and disdain their religious practices.</v>
      </c>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6" x14ac:dyDescent="0.3">
      <c r="A673" s="18" t="s">
        <v>5</v>
      </c>
      <c r="B673" s="24" t="s">
        <v>678</v>
      </c>
      <c r="C673" s="2" t="str">
        <f ca="1">IFERROR(__xludf.DUMMYFUNCTION("GOOGLETRANSLATE(B673, ""bn"", ""en"")"),"In January 2020, 15 people were killed in an attack on a Christian community, and another 10 were killed by police during protests.")</f>
        <v>In January 2020, 15 people were killed in an attack on a Christian community, and another 10 were killed by police during protests.</v>
      </c>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6" x14ac:dyDescent="0.3">
      <c r="A674" s="18" t="s">
        <v>23</v>
      </c>
      <c r="B674" s="25" t="s">
        <v>679</v>
      </c>
      <c r="C674" s="2" t="str">
        <f ca="1">IFERROR(__xludf.DUMMYFUNCTION("GOOGLETRANSLATE(B674, ""bn"", ""en"")"),"What religion this man belongs to, he himself does not know better, he will talk about other religions again. According to them, Allah considers him to be the last of their turn.")</f>
        <v>What religion this man belongs to, he himself does not know better, he will talk about other religions again. According to them, Allah considers him to be the last of their turn.</v>
      </c>
      <c r="D674" s="2"/>
      <c r="E674" s="2"/>
      <c r="F674" s="2"/>
      <c r="G674" s="2"/>
      <c r="H674" s="3"/>
      <c r="I674" s="3"/>
      <c r="J674" s="3"/>
      <c r="K674" s="3"/>
      <c r="L674" s="3"/>
      <c r="M674" s="3"/>
      <c r="N674" s="3"/>
      <c r="O674" s="3"/>
      <c r="P674" s="3"/>
      <c r="Q674" s="3"/>
      <c r="R674" s="3"/>
      <c r="S674" s="3"/>
      <c r="T674" s="3"/>
      <c r="U674" s="3"/>
      <c r="V674" s="3"/>
      <c r="W674" s="3"/>
      <c r="X674" s="3"/>
      <c r="Y674" s="3"/>
      <c r="Z674" s="3"/>
    </row>
    <row r="675" spans="1:26" ht="15.6" x14ac:dyDescent="0.3">
      <c r="A675" s="18" t="s">
        <v>23</v>
      </c>
      <c r="B675" s="25" t="s">
        <v>680</v>
      </c>
      <c r="C675" s="2" t="str">
        <f ca="1">IFERROR(__xludf.DUMMYFUNCTION("GOOGLETRANSLATE(B675, ""bn"", ""en"")"),"The Hindu media blamed the Muslim League as the mastermind behind the riots because the Islamists started bloodshed against Hindus by making violent speeches against Muslims.")</f>
        <v>The Hindu media blamed the Muslim League as the mastermind behind the riots because the Islamists started bloodshed against Hindus by making violent speeches against Muslims.</v>
      </c>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6" x14ac:dyDescent="0.3">
      <c r="A676" s="18" t="s">
        <v>3</v>
      </c>
      <c r="B676" s="25" t="s">
        <v>681</v>
      </c>
      <c r="C676" s="2" t="str">
        <f ca="1">IFERROR(__xludf.DUMMYFUNCTION("GOOGLETRANSLATE(B676, ""bn"", ""en"")"),"Muhammad would regularly spend some nights in the cave of Hera on Mount Noor to meditate. After the age of 35 this habit became more widespread. According to Islamic belief, at the age of 40[147][148] the first verses of the Qur'an were revealed to Muhamm"&amp;"ad[153] and he reported that they were sent from God by the angel Gabriel.")</f>
        <v>Muhammad would regularly spend some nights in the cave of Hera on Mount Noor to meditate. After the age of 35 this habit became more widespread. According to Islamic belief, at the age of 40[147][148] the first verses of the Qur'an were revealed to Muhammad[153] and he reported that they were sent from God by the angel Gabriel.</v>
      </c>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6" x14ac:dyDescent="0.3">
      <c r="A677" s="18" t="s">
        <v>8</v>
      </c>
      <c r="B677" s="24" t="s">
        <v>682</v>
      </c>
      <c r="C677" s="2" t="str">
        <f ca="1">IFERROR(__xludf.DUMMYFUNCTION("GOOGLETRANSLATE(B677, ""bn"", ""en"")"),"In Sunamganj, miscreants broke the head and left hand of the stone statue of Krishna.")</f>
        <v>In Sunamganj, miscreants broke the head and left hand of the stone statue of Krishna.</v>
      </c>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6" x14ac:dyDescent="0.3">
      <c r="A678" s="19" t="s">
        <v>3</v>
      </c>
      <c r="B678" s="26" t="s">
        <v>683</v>
      </c>
      <c r="C678" s="2" t="str">
        <f ca="1">IFERROR(__xludf.DUMMYFUNCTION("GOOGLETRANSLATE(B678, ""bn"", ""en"")"),"Deputy Police Commissioner Tracey Linford said 'Don' is an American religious fundamentalist and 'home' refers to a Christian paradise.")</f>
        <v>Deputy Police Commissioner Tracey Linford said 'Don' is an American religious fundamentalist and 'home' refers to a Christian paradise.</v>
      </c>
      <c r="D678" s="7"/>
      <c r="E678" s="7"/>
      <c r="F678" s="7"/>
      <c r="G678" s="7"/>
      <c r="H678" s="7"/>
      <c r="I678" s="7"/>
      <c r="J678" s="5"/>
      <c r="K678" s="5"/>
      <c r="L678" s="5"/>
      <c r="M678" s="5"/>
      <c r="N678" s="5"/>
      <c r="O678" s="5"/>
      <c r="P678" s="5"/>
      <c r="Q678" s="5"/>
      <c r="R678" s="5"/>
      <c r="S678" s="5"/>
      <c r="T678" s="5"/>
      <c r="U678" s="5"/>
      <c r="V678" s="5"/>
      <c r="W678" s="5"/>
      <c r="X678" s="5"/>
      <c r="Y678" s="5"/>
      <c r="Z678" s="5"/>
    </row>
    <row r="679" spans="1:26" ht="15.6" x14ac:dyDescent="0.3">
      <c r="A679" s="19" t="s">
        <v>3</v>
      </c>
      <c r="B679" s="26" t="s">
        <v>684</v>
      </c>
      <c r="C679" s="2" t="str">
        <f ca="1">IFERROR(__xludf.DUMMYFUNCTION("GOOGLETRANSLATE(B679, ""bn"", ""en"")"),"Mosques are sacred places of worship for Muslims, their desecration is highly offensive to Muslims, as is the case with other religious holy places.")</f>
        <v>Mosques are sacred places of worship for Muslims, their desecration is highly offensive to Muslims, as is the case with other religious holy places.</v>
      </c>
      <c r="D679" s="7"/>
      <c r="E679" s="7"/>
      <c r="F679" s="7"/>
      <c r="G679" s="7"/>
      <c r="H679" s="7"/>
      <c r="I679" s="7"/>
      <c r="J679" s="7"/>
      <c r="K679" s="5"/>
      <c r="L679" s="5"/>
      <c r="M679" s="5"/>
      <c r="N679" s="5"/>
      <c r="O679" s="5"/>
      <c r="P679" s="5"/>
      <c r="Q679" s="5"/>
      <c r="R679" s="5"/>
      <c r="S679" s="5"/>
      <c r="T679" s="5"/>
      <c r="U679" s="5"/>
      <c r="V679" s="5"/>
      <c r="W679" s="5"/>
      <c r="X679" s="5"/>
      <c r="Y679" s="5"/>
      <c r="Z679" s="5"/>
    </row>
    <row r="680" spans="1:26" ht="15.6" x14ac:dyDescent="0.3">
      <c r="A680" s="18" t="s">
        <v>3</v>
      </c>
      <c r="B680" s="25" t="s">
        <v>685</v>
      </c>
      <c r="C680" s="2" t="str">
        <f ca="1">IFERROR(__xludf.DUMMYFUNCTION("GOOGLETRANSLATE(B680, ""bn"", ""en"")"),"The government of Bangladesh emphasizes on social unity and harmony. There is a need to raise awareness so that people of all religions and communities can celebrate the festival peacefully.")</f>
        <v>The government of Bangladesh emphasizes on social unity and harmony. There is a need to raise awareness so that people of all religions and communities can celebrate the festival peacefully.</v>
      </c>
      <c r="D680" s="6"/>
      <c r="E680" s="2"/>
      <c r="F680" s="2"/>
      <c r="G680" s="2"/>
      <c r="H680" s="5"/>
      <c r="I680" s="5"/>
      <c r="J680" s="5"/>
      <c r="K680" s="5"/>
      <c r="L680" s="5"/>
      <c r="M680" s="5"/>
      <c r="N680" s="5"/>
      <c r="O680" s="5"/>
      <c r="P680" s="5"/>
      <c r="Q680" s="5"/>
      <c r="R680" s="5"/>
      <c r="S680" s="5"/>
      <c r="T680" s="5"/>
      <c r="U680" s="5"/>
      <c r="V680" s="5"/>
      <c r="W680" s="5"/>
      <c r="X680" s="5"/>
      <c r="Y680" s="5"/>
      <c r="Z680" s="5"/>
    </row>
    <row r="681" spans="1:26" ht="15.6" x14ac:dyDescent="0.3">
      <c r="A681" s="19" t="s">
        <v>5</v>
      </c>
      <c r="B681" s="26" t="s">
        <v>686</v>
      </c>
      <c r="C681" s="2" t="str">
        <f ca="1">IFERROR(__xludf.DUMMYFUNCTION("GOOGLETRANSLATE(B681, ""bn"", ""en"")"),"In 1990, LTTE rebels killed Muslims in northern and eastern Sri Lanka.")</f>
        <v>In 1990, LTTE rebels killed Muslims in northern and eastern Sri Lanka.</v>
      </c>
      <c r="D681" s="2"/>
      <c r="E681" s="2"/>
      <c r="F681" s="2"/>
      <c r="G681" s="2"/>
      <c r="H681" s="3"/>
      <c r="I681" s="3"/>
      <c r="J681" s="3"/>
      <c r="K681" s="3"/>
      <c r="L681" s="3"/>
      <c r="M681" s="3"/>
      <c r="N681" s="3"/>
      <c r="O681" s="3"/>
      <c r="P681" s="3"/>
      <c r="Q681" s="3"/>
      <c r="R681" s="3"/>
      <c r="S681" s="3"/>
      <c r="T681" s="3"/>
      <c r="U681" s="3"/>
      <c r="V681" s="3"/>
      <c r="W681" s="3"/>
      <c r="X681" s="3"/>
      <c r="Y681" s="3"/>
      <c r="Z681" s="3"/>
    </row>
    <row r="682" spans="1:26" ht="15.6" x14ac:dyDescent="0.3">
      <c r="A682" s="18" t="s">
        <v>5</v>
      </c>
      <c r="B682" s="24" t="s">
        <v>687</v>
      </c>
      <c r="C682" s="2" t="str">
        <f ca="1">IFERROR(__xludf.DUMMYFUNCTION("GOOGLETRANSLATE(B682, ""bn"", ""en"")"),"41 people lost their lives in clashes due to religious hatred in Bhola district. As police failed to quell the violence, the government called for calm. Affected minority families leave the village for security reasons.")</f>
        <v>41 people lost their lives in clashes due to religious hatred in Bhola district. As police failed to quell the violence, the government called for calm. Affected minority families leave the village for security reasons.</v>
      </c>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6" x14ac:dyDescent="0.3">
      <c r="A683" s="18" t="s">
        <v>5</v>
      </c>
      <c r="B683" s="24" t="s">
        <v>688</v>
      </c>
      <c r="C683" s="2" t="str">
        <f ca="1">IFERROR(__xludf.DUMMYFUNCTION("GOOGLETRANSLATE(B683, ""bn"", ""en"")"),"44 people were killed in Brahmanbaria religious riots. The police tried to control the situation but the violence did not subside. The government urged everyone to remain calm to maintain religious tolerance. Many minority families leave the village for s"&amp;"afety.")</f>
        <v>44 people were killed in Brahmanbaria religious riots. The police tried to control the situation but the violence did not subside. The government urged everyone to remain calm to maintain religious tolerance. Many minority families leave the village for safety.</v>
      </c>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6" x14ac:dyDescent="0.3">
      <c r="A684" s="18" t="s">
        <v>3</v>
      </c>
      <c r="B684" s="25" t="s">
        <v>689</v>
      </c>
      <c r="C684" s="2" t="str">
        <f ca="1">IFERROR(__xludf.DUMMYFUNCTION("GOOGLETRANSLATE(B684, ""bn"", ""en"")"),"You read the Gita of Hinduism, if you write it in Bengali and convey it to the people, many will understand it more easily. In our Islamic religion, the Quran is given in Arabic as well as Bengali pronunciation and translation, which enhances understandin"&amp;"g.")</f>
        <v>You read the Gita of Hinduism, if you write it in Bengali and convey it to the people, many will understand it more easily. In our Islamic religion, the Quran is given in Arabic as well as Bengali pronunciation and translation, which enhances understanding.</v>
      </c>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6" x14ac:dyDescent="0.3">
      <c r="A685" s="19" t="s">
        <v>23</v>
      </c>
      <c r="B685" s="26" t="s">
        <v>690</v>
      </c>
      <c r="C685" s="2" t="str">
        <f ca="1">IFERROR(__xludf.DUMMYFUNCTION("GOOGLETRANSLATE(B685, ""bn"", ""en"")"),"Misconceptions are being created by putting all the blame on Hindus, but we are not behind; Indeed someone wants to create conflict between two communities in the country.")</f>
        <v>Misconceptions are being created by putting all the blame on Hindus, but we are not behind; Indeed someone wants to create conflict between two communities in the country.</v>
      </c>
      <c r="D685" s="7"/>
      <c r="E685" s="7"/>
      <c r="F685" s="7"/>
      <c r="G685" s="7"/>
      <c r="H685" s="7"/>
      <c r="I685" s="7"/>
      <c r="J685" s="7"/>
      <c r="K685" s="7"/>
      <c r="L685" s="5"/>
      <c r="M685" s="5"/>
      <c r="N685" s="5"/>
      <c r="O685" s="5"/>
      <c r="P685" s="5"/>
      <c r="Q685" s="5"/>
      <c r="R685" s="5"/>
      <c r="S685" s="5"/>
      <c r="T685" s="5"/>
      <c r="U685" s="5"/>
      <c r="V685" s="5"/>
      <c r="W685" s="5"/>
      <c r="X685" s="5"/>
      <c r="Y685" s="5"/>
      <c r="Z685" s="5"/>
    </row>
    <row r="686" spans="1:26" ht="15.6" x14ac:dyDescent="0.3">
      <c r="A686" s="19" t="s">
        <v>5</v>
      </c>
      <c r="B686" s="26" t="s">
        <v>691</v>
      </c>
      <c r="C686" s="2" t="str">
        <f ca="1">IFERROR(__xludf.DUMMYFUNCTION("GOOGLETRANSLATE(B686, ""bn"", ""en"")"),"The violence in several parts of Bangladesh in 2008 refers to widespread violence against the community instigated after the killing of a religious leader in August of that year.")</f>
        <v>The violence in several parts of Bangladesh in 2008 refers to widespread violence against the community instigated after the killing of a religious leader in August of that year.</v>
      </c>
      <c r="D686" s="2"/>
      <c r="E686" s="2"/>
      <c r="F686" s="2"/>
      <c r="G686" s="2"/>
      <c r="H686" s="3"/>
      <c r="I686" s="3"/>
      <c r="J686" s="3"/>
      <c r="K686" s="3"/>
      <c r="L686" s="3"/>
      <c r="M686" s="3"/>
      <c r="N686" s="3"/>
      <c r="O686" s="3"/>
      <c r="P686" s="3"/>
      <c r="Q686" s="3"/>
      <c r="R686" s="3"/>
      <c r="S686" s="3"/>
      <c r="T686" s="3"/>
      <c r="U686" s="3"/>
      <c r="V686" s="3"/>
      <c r="W686" s="3"/>
      <c r="X686" s="3"/>
      <c r="Y686" s="3"/>
      <c r="Z686" s="3"/>
    </row>
    <row r="687" spans="1:26" ht="15.6" x14ac:dyDescent="0.3">
      <c r="A687" s="18" t="s">
        <v>5</v>
      </c>
      <c r="B687" s="24" t="s">
        <v>692</v>
      </c>
      <c r="C687" s="2" t="str">
        <f ca="1">IFERROR(__xludf.DUMMYFUNCTION("GOOGLETRANSLATE(B687, ""bn"", ""en"")"),"At Lalmonirhat, 41 people were killed in clashes due to religious disputes. Police resorted to baton charges to bring the situation under control, while the government ordered everyone to remain calm and responsible. Many minority families leave the villa"&amp;"ge for safety.")</f>
        <v>At Lalmonirhat, 41 people were killed in clashes due to religious disputes. Police resorted to baton charges to bring the situation under control, while the government ordered everyone to remain calm and responsible. Many minority families leave the village for safety.</v>
      </c>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6" x14ac:dyDescent="0.3">
      <c r="A688" s="19" t="s">
        <v>23</v>
      </c>
      <c r="B688" s="26" t="s">
        <v>693</v>
      </c>
      <c r="C688" s="2" t="str">
        <f ca="1">IFERROR(__xludf.DUMMYFUNCTION("GOOGLETRANSLATE(B688, ""bn"", ""en"")"),"Why don't you get hurt if someone tries to insult him who has worked hard for the Ummah all his life? Why don't you feel insulted?")</f>
        <v>Why don't you get hurt if someone tries to insult him who has worked hard for the Ummah all his life? Why don't you feel insulted?</v>
      </c>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6" x14ac:dyDescent="0.3">
      <c r="A689" s="19" t="s">
        <v>8</v>
      </c>
      <c r="B689" s="26" t="s">
        <v>694</v>
      </c>
      <c r="C689" s="2" t="str">
        <f ca="1">IFERROR(__xludf.DUMMYFUNCTION("GOOGLETRANSLATE(B689, ""bn"", ""en"")"),"The attackers attacked the Chandamani Kali temple in three rounds. The last time the temple was set on fire by climbing over the walls with a ladder, hammer and petrol. Police assistance was sought but it was not available in time.")</f>
        <v>The attackers attacked the Chandamani Kali temple in three rounds. The last time the temple was set on fire by climbing over the walls with a ladder, hammer and petrol. Police assistance was sought but it was not available in time.</v>
      </c>
      <c r="D689" s="7"/>
      <c r="E689" s="7"/>
      <c r="F689" s="7"/>
      <c r="G689" s="7"/>
      <c r="H689" s="7"/>
      <c r="I689" s="7"/>
      <c r="J689" s="7"/>
      <c r="K689" s="7"/>
      <c r="L689" s="7"/>
      <c r="M689" s="7"/>
      <c r="N689" s="7"/>
      <c r="O689" s="7"/>
      <c r="P689" s="5"/>
      <c r="Q689" s="5"/>
      <c r="R689" s="5"/>
      <c r="S689" s="5"/>
      <c r="T689" s="5"/>
      <c r="U689" s="5"/>
      <c r="V689" s="5"/>
      <c r="W689" s="5"/>
      <c r="X689" s="5"/>
      <c r="Y689" s="5"/>
      <c r="Z689" s="5"/>
    </row>
    <row r="690" spans="1:26" ht="15.6" x14ac:dyDescent="0.3">
      <c r="A690" s="18" t="s">
        <v>8</v>
      </c>
      <c r="B690" s="25" t="s">
        <v>695</v>
      </c>
      <c r="C690" s="2" t="str">
        <f ca="1">IFERROR(__xludf.DUMMYFUNCTION("GOOGLETRANSLATE(B690, ""bn"", ""en"")"),"Soon after the procession and speeches were over at around 1 pm, the Muslims started looting Hindu houses and shops and burning them.")</f>
        <v>Soon after the procession and speeches were over at around 1 pm, the Muslims started looting Hindu houses and shops and burning them.</v>
      </c>
      <c r="D690" s="2"/>
      <c r="E690" s="2"/>
      <c r="F690" s="2"/>
      <c r="G690" s="2"/>
      <c r="H690" s="3"/>
      <c r="I690" s="3"/>
      <c r="J690" s="3"/>
      <c r="K690" s="3"/>
      <c r="L690" s="3"/>
      <c r="M690" s="3"/>
      <c r="N690" s="3"/>
      <c r="O690" s="3"/>
      <c r="P690" s="3"/>
      <c r="Q690" s="3"/>
      <c r="R690" s="3"/>
      <c r="S690" s="3"/>
      <c r="T690" s="3"/>
      <c r="U690" s="3"/>
      <c r="V690" s="3"/>
      <c r="W690" s="3"/>
      <c r="X690" s="3"/>
      <c r="Y690" s="3"/>
      <c r="Z690" s="3"/>
    </row>
    <row r="691" spans="1:26" ht="15.6" x14ac:dyDescent="0.3">
      <c r="A691" s="18" t="s">
        <v>3</v>
      </c>
      <c r="B691" s="25" t="s">
        <v>696</v>
      </c>
      <c r="C691" s="2" t="str">
        <f ca="1">IFERROR(__xludf.DUMMYFUNCTION("GOOGLETRANSLATE(B691, ""bn"", ""en"")"),"Our main task today is to stop bloodshed and violence. Otherwise the crisis will deepen and become more dire and lead to devastating consequences.")</f>
        <v>Our main task today is to stop bloodshed and violence. Otherwise the crisis will deepen and become more dire and lead to devastating consequences.</v>
      </c>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6" x14ac:dyDescent="0.3">
      <c r="A692" s="18" t="s">
        <v>23</v>
      </c>
      <c r="B692" s="25" t="s">
        <v>697</v>
      </c>
      <c r="C692" s="2" t="str">
        <f ca="1">IFERROR(__xludf.DUMMYFUNCTION("GOOGLETRANSLATE(B692, ""bn"", ""en"")"),"The way Islamic programs are being harassed in Dubai, one would think a hundred times before such harassment is done in Zabi.")</f>
        <v>The way Islamic programs are being harassed in Dubai, one would think a hundred times before such harassment is done in Zabi.</v>
      </c>
      <c r="D692" s="6"/>
      <c r="E692" s="6"/>
      <c r="F692" s="6"/>
      <c r="G692" s="6"/>
      <c r="H692" s="3"/>
      <c r="I692" s="3"/>
      <c r="J692" s="3"/>
      <c r="K692" s="3"/>
      <c r="L692" s="3"/>
      <c r="M692" s="3"/>
      <c r="N692" s="3"/>
      <c r="O692" s="3"/>
      <c r="P692" s="3"/>
      <c r="Q692" s="3"/>
      <c r="R692" s="3"/>
      <c r="S692" s="3"/>
      <c r="T692" s="3"/>
      <c r="U692" s="3"/>
      <c r="V692" s="3"/>
      <c r="W692" s="3"/>
      <c r="X692" s="3"/>
      <c r="Y692" s="3"/>
      <c r="Z692" s="3"/>
    </row>
    <row r="693" spans="1:26" ht="15.6" x14ac:dyDescent="0.3">
      <c r="A693" s="18" t="s">
        <v>8</v>
      </c>
      <c r="B693" s="25" t="s">
        <v>698</v>
      </c>
      <c r="C693" s="2" t="str">
        <f ca="1">IFERROR(__xludf.DUMMYFUNCTION("GOOGLETRANSLATE(B693, ""bn"", ""en"")"),"4 cases were filed by the police in the Pirganj incident. Among these, one of the cases was on the charges of vandalism, arson and looting of Hindu houses.")</f>
        <v>4 cases were filed by the police in the Pirganj incident. Among these, one of the cases was on the charges of vandalism, arson and looting of Hindu houses.</v>
      </c>
      <c r="D693" s="2"/>
      <c r="E693" s="2"/>
      <c r="F693" s="2"/>
      <c r="G693" s="2"/>
      <c r="H693" s="3"/>
      <c r="I693" s="3"/>
      <c r="J693" s="3"/>
      <c r="K693" s="3"/>
      <c r="L693" s="3"/>
      <c r="M693" s="3"/>
      <c r="N693" s="3"/>
      <c r="O693" s="3"/>
      <c r="P693" s="3"/>
      <c r="Q693" s="3"/>
      <c r="R693" s="3"/>
      <c r="S693" s="3"/>
      <c r="T693" s="3"/>
      <c r="U693" s="3"/>
      <c r="V693" s="3"/>
      <c r="W693" s="3"/>
      <c r="X693" s="3"/>
      <c r="Y693" s="3"/>
      <c r="Z693" s="3"/>
    </row>
    <row r="694" spans="1:26" ht="15.6" x14ac:dyDescent="0.3">
      <c r="A694" s="18" t="s">
        <v>8</v>
      </c>
      <c r="B694" s="25" t="s">
        <v>699</v>
      </c>
      <c r="C694" s="2" t="str">
        <f ca="1">IFERROR(__xludf.DUMMYFUNCTION("GOOGLETRANSLATE(B694, ""bn"", ""en"")"),"When the Hindu refugees started fleeing to Barendrapur, the armed forces started all kinds of torture on their way. There was no torture left that was not inflicted on the Hindu refugee passengers.")</f>
        <v>When the Hindu refugees started fleeing to Barendrapur, the armed forces started all kinds of torture on their way. There was no torture left that was not inflicted on the Hindu refugee passengers.</v>
      </c>
      <c r="D694" s="6"/>
      <c r="E694" s="6"/>
      <c r="F694" s="2"/>
      <c r="G694" s="2"/>
      <c r="H694" s="3"/>
      <c r="I694" s="3"/>
      <c r="J694" s="3"/>
      <c r="K694" s="3"/>
      <c r="L694" s="3"/>
      <c r="M694" s="3"/>
      <c r="N694" s="3"/>
      <c r="O694" s="3"/>
      <c r="P694" s="3"/>
      <c r="Q694" s="3"/>
      <c r="R694" s="3"/>
      <c r="S694" s="3"/>
      <c r="T694" s="3"/>
      <c r="U694" s="3"/>
      <c r="V694" s="3"/>
      <c r="W694" s="3"/>
      <c r="X694" s="3"/>
      <c r="Y694" s="3"/>
      <c r="Z694" s="3"/>
    </row>
    <row r="695" spans="1:26" ht="15.6" x14ac:dyDescent="0.3">
      <c r="A695" s="18" t="s">
        <v>3</v>
      </c>
      <c r="B695" s="25" t="s">
        <v>700</v>
      </c>
      <c r="C695" s="2" t="str">
        <f ca="1">IFERROR(__xludf.DUMMYFUNCTION("GOOGLETRANSLATE(B695, ""bn"", ""en"")"),"Those killed in the path of Allah are called martyrs, their status is different from the common dead.")</f>
        <v>Those killed in the path of Allah are called martyrs, their status is different from the common dead.</v>
      </c>
      <c r="D695" s="2"/>
      <c r="E695" s="2"/>
      <c r="F695" s="2"/>
      <c r="G695" s="2"/>
      <c r="H695" s="3"/>
      <c r="I695" s="3"/>
      <c r="J695" s="3"/>
      <c r="K695" s="3"/>
      <c r="L695" s="3"/>
      <c r="M695" s="3"/>
      <c r="N695" s="3"/>
      <c r="O695" s="3"/>
      <c r="P695" s="3"/>
      <c r="Q695" s="3"/>
      <c r="R695" s="3"/>
      <c r="S695" s="3"/>
      <c r="T695" s="3"/>
      <c r="U695" s="3"/>
      <c r="V695" s="3"/>
      <c r="W695" s="3"/>
      <c r="X695" s="3"/>
      <c r="Y695" s="3"/>
      <c r="Z695" s="3"/>
    </row>
    <row r="696" spans="1:26" ht="15.6" x14ac:dyDescent="0.3">
      <c r="A696" s="18" t="s">
        <v>3</v>
      </c>
      <c r="B696" s="25" t="s">
        <v>701</v>
      </c>
      <c r="C696" s="2" t="str">
        <f ca="1">IFERROR(__xludf.DUMMYFUNCTION("GOOGLETRANSLATE(B696, ""bn"", ""en"")"),"In Sanatan Dharma no specific person defines Sanatan Dharma, only Vedavihit Dharma is Sanatan Dharma.")</f>
        <v>In Sanatan Dharma no specific person defines Sanatan Dharma, only Vedavihit Dharma is Sanatan Dharma.</v>
      </c>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6" x14ac:dyDescent="0.3">
      <c r="A697" s="18" t="s">
        <v>3</v>
      </c>
      <c r="B697" s="25" t="s">
        <v>702</v>
      </c>
      <c r="C697" s="2" t="str">
        <f ca="1">IFERROR(__xludf.DUMMYFUNCTION("GOOGLETRANSLATE(B697, ""bn"", ""en"")"),"Our family provided security for the lives and property of Hindu families including nearby villages during the liberation war")</f>
        <v>Our family provided security for the lives and property of Hindu families including nearby villages during the liberation war</v>
      </c>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6" x14ac:dyDescent="0.3">
      <c r="A698" s="18" t="s">
        <v>5</v>
      </c>
      <c r="B698" s="24" t="s">
        <v>703</v>
      </c>
      <c r="C698" s="2" t="str">
        <f ca="1">IFERROR(__xludf.DUMMYFUNCTION("GOOGLETRANSLATE(B698, ""bn"", ""en"")"),"Spreading religious hatred, a mosque was set on fire, where 25 people, including children and the elderly, died while praying. Total killed: 25 people.")</f>
        <v>Spreading religious hatred, a mosque was set on fire, where 25 people, including children and the elderly, died while praying. Total killed: 25 people.</v>
      </c>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6" x14ac:dyDescent="0.3">
      <c r="A699" s="18" t="s">
        <v>23</v>
      </c>
      <c r="B699" s="24" t="s">
        <v>704</v>
      </c>
      <c r="C699" s="2" t="str">
        <f ca="1">IFERROR(__xludf.DUMMYFUNCTION("GOOGLETRANSLATE(B699, ""bn"", ""en"")"),"Muslim extremists consider their religion superior to other religions and despise others.")</f>
        <v>Muslim extremists consider their religion superior to other religions and despise others.</v>
      </c>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6" x14ac:dyDescent="0.3">
      <c r="A700" s="18" t="s">
        <v>5</v>
      </c>
      <c r="B700" s="25" t="s">
        <v>705</v>
      </c>
      <c r="C700" s="2" t="str">
        <f ca="1">IFERROR(__xludf.DUMMYFUNCTION("GOOGLETRANSLATE(B700, ""bn"", ""en"")"),"There are allegations of religious persecution and genocide against the Noorbazara Muslim community in Jhelonga, where many people have died as a result of torture in detention camps.")</f>
        <v>There are allegations of religious persecution and genocide against the Noorbazara Muslim community in Jhelonga, where many people have died as a result of torture in detention camps.</v>
      </c>
      <c r="D700" s="2"/>
      <c r="E700" s="2"/>
      <c r="F700" s="2"/>
      <c r="G700" s="2"/>
      <c r="H700" s="3"/>
      <c r="I700" s="3"/>
      <c r="J700" s="3"/>
      <c r="K700" s="3"/>
      <c r="L700" s="3"/>
      <c r="M700" s="3"/>
      <c r="N700" s="3"/>
      <c r="O700" s="3"/>
      <c r="P700" s="3"/>
      <c r="Q700" s="3"/>
      <c r="R700" s="3"/>
      <c r="S700" s="3"/>
      <c r="T700" s="3"/>
      <c r="U700" s="3"/>
      <c r="V700" s="3"/>
      <c r="W700" s="3"/>
      <c r="X700" s="3"/>
      <c r="Y700" s="3"/>
      <c r="Z700" s="3"/>
    </row>
    <row r="701" spans="1:26" ht="15.6" x14ac:dyDescent="0.3">
      <c r="A701" s="18" t="s">
        <v>5</v>
      </c>
      <c r="B701" s="24" t="s">
        <v>706</v>
      </c>
      <c r="C701" s="2" t="str">
        <f ca="1">IFERROR(__xludf.DUMMYFUNCTION("GOOGLETRANSLATE(B701, ""bn"", ""en"")"),"44 people lost their lives in clashes due to religious tension in Bogra. Police tried to quell the violence but the situation went out of control. The government ordered everyone to remain calm and maintain religious harmony. Many minority families leave "&amp;"the village for safety.")</f>
        <v>44 people lost their lives in clashes due to religious tension in Bogra. Police tried to quell the violence but the situation went out of control. The government ordered everyone to remain calm and maintain religious harmony. Many minority families leave the village for safety.</v>
      </c>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6" x14ac:dyDescent="0.3">
      <c r="A702" s="18" t="s">
        <v>23</v>
      </c>
      <c r="B702" s="24" t="s">
        <v>707</v>
      </c>
      <c r="C702" s="2" t="str">
        <f ca="1">IFERROR(__xludf.DUMMYFUNCTION("GOOGLETRANSLATE(B702, ""bn"", ""en"")"),"Some members of the Buddhist community show a hostile attitude towards other religions which causes unrest.")</f>
        <v>Some members of the Buddhist community show a hostile attitude towards other religions which causes unrest.</v>
      </c>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6" x14ac:dyDescent="0.3">
      <c r="A703" s="19" t="s">
        <v>8</v>
      </c>
      <c r="B703" s="26" t="s">
        <v>708</v>
      </c>
      <c r="C703" s="2" t="str">
        <f ca="1">IFERROR(__xludf.DUMMYFUNCTION("GOOGLETRANSLATE(B703, ""bn"", ""en"")"),"A young man broke the lock of the temple and tried to break the face of the Kali idol.")</f>
        <v>A young man broke the lock of the temple and tried to break the face of the Kali idol.</v>
      </c>
      <c r="D703" s="7"/>
      <c r="E703" s="5"/>
      <c r="F703" s="5"/>
      <c r="G703" s="5"/>
      <c r="H703" s="5"/>
      <c r="I703" s="5"/>
      <c r="J703" s="5"/>
      <c r="K703" s="5"/>
      <c r="L703" s="5"/>
      <c r="M703" s="5"/>
      <c r="N703" s="5"/>
      <c r="O703" s="5"/>
      <c r="P703" s="5"/>
      <c r="Q703" s="5"/>
      <c r="R703" s="5"/>
      <c r="S703" s="5"/>
      <c r="T703" s="5"/>
      <c r="U703" s="5"/>
      <c r="V703" s="5"/>
      <c r="W703" s="5"/>
      <c r="X703" s="5"/>
      <c r="Y703" s="5"/>
      <c r="Z703" s="5"/>
    </row>
    <row r="704" spans="1:26" ht="15.6" x14ac:dyDescent="0.3">
      <c r="A704" s="18" t="s">
        <v>5</v>
      </c>
      <c r="B704" s="24" t="s">
        <v>709</v>
      </c>
      <c r="C704" s="2" t="str">
        <f ca="1">IFERROR(__xludf.DUMMYFUNCTION("GOOGLETRANSLATE(B704, ""bn"", ""en"")"),"A media office was attacked and journalists killed in religious incitement; A total of 14 people were killed.")</f>
        <v>A media office was attacked and journalists killed in religious incitement; A total of 14 people were killed.</v>
      </c>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6" x14ac:dyDescent="0.3">
      <c r="A705" s="18" t="s">
        <v>8</v>
      </c>
      <c r="B705" s="25" t="s">
        <v>710</v>
      </c>
      <c r="C705" s="2" t="str">
        <f ca="1">IFERROR(__xludf.DUMMYFUNCTION("GOOGLETRANSLATE(B705, ""bn"", ""en"")"),"Due to religious hatred, Hindus were subjected to serial killing, rape, looting, forced conversion and burning of houses.")</f>
        <v>Due to religious hatred, Hindus were subjected to serial killing, rape, looting, forced conversion and burning of houses.</v>
      </c>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6" x14ac:dyDescent="0.3">
      <c r="A706" s="19" t="s">
        <v>5</v>
      </c>
      <c r="B706" s="26" t="s">
        <v>711</v>
      </c>
      <c r="C706" s="2" t="str">
        <f ca="1">IFERROR(__xludf.DUMMYFUNCTION("GOOGLETRANSLATE(B706, ""bn"", ""en"")"),"More than 10,000 people have died in Hindu-Muslim communal violence since 1950.")</f>
        <v>More than 10,000 people have died in Hindu-Muslim communal violence since 1950.</v>
      </c>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6" x14ac:dyDescent="0.3">
      <c r="A707" s="19" t="s">
        <v>3</v>
      </c>
      <c r="B707" s="26" t="s">
        <v>712</v>
      </c>
      <c r="C707" s="2" t="str">
        <f ca="1">IFERROR(__xludf.DUMMYFUNCTION("GOOGLETRANSLATE(B707, ""bn"", ""en"")"),"In the Comilla incident, everyone should behave peacefully and sensibly with respect to the Quran, so that religious harmony is maintained.")</f>
        <v>In the Comilla incident, everyone should behave peacefully and sensibly with respect to the Quran, so that religious harmony is maintained.</v>
      </c>
      <c r="D707" s="7"/>
      <c r="E707" s="7"/>
      <c r="F707" s="7"/>
      <c r="G707" s="7"/>
      <c r="H707" s="7"/>
      <c r="I707" s="7"/>
      <c r="J707" s="5"/>
      <c r="K707" s="5"/>
      <c r="L707" s="5"/>
      <c r="M707" s="5"/>
      <c r="N707" s="5"/>
      <c r="O707" s="5"/>
      <c r="P707" s="5"/>
      <c r="Q707" s="5"/>
      <c r="R707" s="5"/>
      <c r="S707" s="5"/>
      <c r="T707" s="5"/>
      <c r="U707" s="5"/>
      <c r="V707" s="5"/>
      <c r="W707" s="5"/>
      <c r="X707" s="5"/>
      <c r="Y707" s="5"/>
      <c r="Z707" s="5"/>
    </row>
    <row r="708" spans="1:26" ht="15.6" x14ac:dyDescent="0.3">
      <c r="A708" s="19" t="s">
        <v>8</v>
      </c>
      <c r="B708" s="26" t="s">
        <v>713</v>
      </c>
      <c r="C708" s="2" t="str">
        <f ca="1">IFERROR(__xludf.DUMMYFUNCTION("GOOGLETRANSLATE(B708, ""bn"", ""en"")"),"In Faridpur, a local religious leader banned a Muslim youth from entering the village because he was working in a church.")</f>
        <v>In Faridpur, a local religious leader banned a Muslim youth from entering the village because he was working in a church.</v>
      </c>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6" x14ac:dyDescent="0.3">
      <c r="A709" s="18" t="s">
        <v>23</v>
      </c>
      <c r="B709" s="25" t="s">
        <v>714</v>
      </c>
      <c r="C709" s="2" t="str">
        <f ca="1">IFERROR(__xludf.DUMMYFUNCTION("GOOGLETRANSLATE(B709, ""bn"", ""en"")"),"Islamic culture is rooted in the rules of Islam, mixing it with other religious practices or cultures is not only contradictory, but also hurts the Islamic identity.")</f>
        <v>Islamic culture is rooted in the rules of Islam, mixing it with other religious practices or cultures is not only contradictory, but also hurts the Islamic identity.</v>
      </c>
      <c r="D709" s="2"/>
      <c r="E709" s="2"/>
      <c r="F709" s="2"/>
      <c r="G709" s="2"/>
      <c r="H709" s="3"/>
      <c r="I709" s="3"/>
      <c r="J709" s="3"/>
      <c r="K709" s="3"/>
      <c r="L709" s="3"/>
      <c r="M709" s="3"/>
      <c r="N709" s="3"/>
      <c r="O709" s="3"/>
      <c r="P709" s="3"/>
      <c r="Q709" s="3"/>
      <c r="R709" s="3"/>
      <c r="S709" s="3"/>
      <c r="T709" s="3"/>
      <c r="U709" s="3"/>
      <c r="V709" s="3"/>
      <c r="W709" s="3"/>
      <c r="X709" s="3"/>
      <c r="Y709" s="3"/>
      <c r="Z709" s="3"/>
    </row>
    <row r="710" spans="1:26" ht="15.6" x14ac:dyDescent="0.3">
      <c r="A710" s="18" t="s">
        <v>8</v>
      </c>
      <c r="B710" s="25" t="s">
        <v>715</v>
      </c>
      <c r="C710" s="2" t="str">
        <f ca="1">IFERROR(__xludf.DUMMYFUNCTION("GOOGLETRANSLATE(B710, ""bn"", ""en"")"),"Apart from Dhaka, Hindus in at least 12 cities have been victims of communal violence. Daily Ittefaq newspaper published the news of severe torture on Hindus of Jessore, Narail, Gaibandha, Mymensingh, Sunamganj, Sylhet.")</f>
        <v>Apart from Dhaka, Hindus in at least 12 cities have been victims of communal violence. Daily Ittefaq newspaper published the news of severe torture on Hindus of Jessore, Narail, Gaibandha, Mymensingh, Sunamganj, Sylhet.</v>
      </c>
      <c r="D710" s="6"/>
      <c r="E710" s="6"/>
      <c r="F710" s="6"/>
      <c r="G710" s="2"/>
      <c r="H710" s="3"/>
      <c r="I710" s="3"/>
      <c r="J710" s="3"/>
      <c r="K710" s="3"/>
      <c r="L710" s="3"/>
      <c r="M710" s="3"/>
      <c r="N710" s="3"/>
      <c r="O710" s="3"/>
      <c r="P710" s="3"/>
      <c r="Q710" s="3"/>
      <c r="R710" s="3"/>
      <c r="S710" s="3"/>
      <c r="T710" s="3"/>
      <c r="U710" s="3"/>
      <c r="V710" s="3"/>
      <c r="W710" s="3"/>
      <c r="X710" s="3"/>
      <c r="Y710" s="3"/>
      <c r="Z710" s="3"/>
    </row>
    <row r="711" spans="1:26" ht="15.6" x14ac:dyDescent="0.3">
      <c r="A711" s="18" t="s">
        <v>8</v>
      </c>
      <c r="B711" s="25" t="s">
        <v>716</v>
      </c>
      <c r="C711" s="2" t="str">
        <f ca="1">IFERROR(__xludf.DUMMYFUNCTION("GOOGLETRANSLATE(B711, ""bn"", ""en"")"),"Denies or restricts the religious freedom of Hindus. This includes state-sponsored acts such as desecration of religious symbols, destruction of temples, idols and arson.")</f>
        <v>Denies or restricts the religious freedom of Hindus. This includes state-sponsored acts such as desecration of religious symbols, destruction of temples, idols and arson.</v>
      </c>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6" x14ac:dyDescent="0.3">
      <c r="A712" s="19" t="s">
        <v>8</v>
      </c>
      <c r="B712" s="26" t="s">
        <v>717</v>
      </c>
      <c r="C712" s="2" t="str">
        <f ca="1">IFERROR(__xludf.DUMMYFUNCTION("GOOGLETRANSLATE(B712, ""bn"", ""en"")"),"The Muslims went berserk in despicable brutalities like forcibly converting Hindus to Islam in village after village in riots.")</f>
        <v>The Muslims went berserk in despicable brutalities like forcibly converting Hindus to Islam in village after village in riots.</v>
      </c>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6" x14ac:dyDescent="0.3">
      <c r="A713" s="19" t="s">
        <v>5</v>
      </c>
      <c r="B713" s="26" t="s">
        <v>718</v>
      </c>
      <c r="C713" s="2" t="str">
        <f ca="1">IFERROR(__xludf.DUMMYFUNCTION("GOOGLETRANSLATE(B713, ""bn"", ""en"")"),"At least 10 people including Noor Islam, Sandhya Rani, Ramakrishna were killed and more than 150 were injured in the fanatical communal attack.")</f>
        <v>At least 10 people including Noor Islam, Sandhya Rani, Ramakrishna were killed and more than 150 were injured in the fanatical communal attack.</v>
      </c>
      <c r="D713" s="7"/>
      <c r="E713" s="7"/>
      <c r="F713" s="7"/>
      <c r="G713" s="7"/>
      <c r="H713" s="5"/>
      <c r="I713" s="5"/>
      <c r="J713" s="5"/>
      <c r="K713" s="5"/>
      <c r="L713" s="5"/>
      <c r="M713" s="5"/>
      <c r="N713" s="5"/>
      <c r="O713" s="5"/>
      <c r="P713" s="5"/>
      <c r="Q713" s="5"/>
      <c r="R713" s="5"/>
      <c r="S713" s="5"/>
      <c r="T713" s="5"/>
      <c r="U713" s="5"/>
      <c r="V713" s="5"/>
      <c r="W713" s="5"/>
      <c r="X713" s="5"/>
      <c r="Y713" s="5"/>
      <c r="Z713" s="5"/>
    </row>
    <row r="714" spans="1:26" ht="15.6" x14ac:dyDescent="0.3">
      <c r="A714" s="18" t="s">
        <v>8</v>
      </c>
      <c r="B714" s="25" t="s">
        <v>719</v>
      </c>
      <c r="C714" s="2" t="str">
        <f ca="1">IFERROR(__xludf.DUMMYFUNCTION("GOOGLETRANSLATE(B714, ""bn"", ""en"")"),"Torture and bloodshed on the innocent in the name of religious beliefs can lead to sectarian violence and war across the region.")</f>
        <v>Torture and bloodshed on the innocent in the name of religious beliefs can lead to sectarian violence and war across the region.</v>
      </c>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6" x14ac:dyDescent="0.3">
      <c r="A715" s="18" t="s">
        <v>3</v>
      </c>
      <c r="B715" s="25" t="s">
        <v>720</v>
      </c>
      <c r="C715" s="2" t="str">
        <f ca="1">IFERROR(__xludf.DUMMYFUNCTION("GOOGLETRANSLATE(B715, ""bn"", ""en"")"),"By becoming a true Muslim, he showed that for a Muslim, Deen is greater than the world, Masha Allah, his faith has become really strong.")</f>
        <v>By becoming a true Muslim, he showed that for a Muslim, Deen is greater than the world, Masha Allah, his faith has become really strong.</v>
      </c>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6" x14ac:dyDescent="0.3">
      <c r="A716" s="18" t="s">
        <v>5</v>
      </c>
      <c r="B716" s="24" t="s">
        <v>721</v>
      </c>
      <c r="C716" s="2" t="str">
        <f ca="1">IFERROR(__xludf.DUMMYFUNCTION("GOOGLETRANSLATE(B716, ""bn"", ""en"")"),"In September 2018, 29 people were killed when their homes were set on fire after a religious group allegedly failed to impose taxes on minorities.")</f>
        <v>In September 2018, 29 people were killed when their homes were set on fire after a religious group allegedly failed to impose taxes on minorities.</v>
      </c>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6" x14ac:dyDescent="0.3">
      <c r="A717" s="18" t="s">
        <v>8</v>
      </c>
      <c r="B717" s="25" t="s">
        <v>722</v>
      </c>
      <c r="C717" s="2" t="str">
        <f ca="1">IFERROR(__xludf.DUMMYFUNCTION("GOOGLETRANSLATE(B717, ""bn"", ""en"")"),"On the night of January 5, 46 houses and Hindu properties were destroyed and 6 houses were set on fire in Satkhira district. Miscreants blame Hindus for voting Awami League.[")</f>
        <v>On the night of January 5, 46 houses and Hindu properties were destroyed and 6 houses were set on fire in Satkhira district. Miscreants blame Hindus for voting Awami League.[</v>
      </c>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6" x14ac:dyDescent="0.3">
      <c r="A718" s="19" t="s">
        <v>5</v>
      </c>
      <c r="B718" s="26" t="s">
        <v>723</v>
      </c>
      <c r="C718" s="2" t="str">
        <f ca="1">IFERROR(__xludf.DUMMYFUNCTION("GOOGLETRANSLATE(B718, ""bn"", ""en"")"),"Anti-Hindu slogans and burning of houses; Many Hindus fled into the jungles, those who refused to convert were brutally killed.")</f>
        <v>Anti-Hindu slogans and burning of houses; Many Hindus fled into the jungles, those who refused to convert were brutally killed.</v>
      </c>
      <c r="D718" s="7"/>
      <c r="E718" s="7"/>
      <c r="F718" s="7"/>
      <c r="G718" s="7"/>
      <c r="H718" s="7"/>
      <c r="I718" s="7"/>
      <c r="J718" s="7"/>
      <c r="K718" s="5"/>
      <c r="L718" s="5"/>
      <c r="M718" s="5"/>
      <c r="N718" s="5"/>
      <c r="O718" s="5"/>
      <c r="P718" s="5"/>
      <c r="Q718" s="5"/>
      <c r="R718" s="5"/>
      <c r="S718" s="5"/>
      <c r="T718" s="5"/>
      <c r="U718" s="5"/>
      <c r="V718" s="5"/>
      <c r="W718" s="5"/>
      <c r="X718" s="5"/>
      <c r="Y718" s="5"/>
      <c r="Z718" s="5"/>
    </row>
    <row r="719" spans="1:26" ht="15.6" x14ac:dyDescent="0.3">
      <c r="A719" s="18" t="s">
        <v>8</v>
      </c>
      <c r="B719" s="24" t="s">
        <v>724</v>
      </c>
      <c r="C719" s="2" t="str">
        <f ca="1">IFERROR(__xludf.DUMMYFUNCTION("GOOGLETRANSLATE(B719, ""bn"", ""en"")"),"On 8 February 2023, an ancient Mansa temple was set on fire at Jajira in Shariatpur, resulting in the complete destruction of the idol.")</f>
        <v>On 8 February 2023, an ancient Mansa temple was set on fire at Jajira in Shariatpur, resulting in the complete destruction of the idol.</v>
      </c>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6" x14ac:dyDescent="0.3">
      <c r="A720" s="18" t="s">
        <v>5</v>
      </c>
      <c r="B720" s="24" t="s">
        <v>725</v>
      </c>
      <c r="C720" s="2" t="str">
        <f ca="1">IFERROR(__xludf.DUMMYFUNCTION("GOOGLETRANSLATE(B720, ""bn"", ""en"")"),"In February 2019, a group attacked religious book distributors, killing 18 people.")</f>
        <v>In February 2019, a group attacked religious book distributors, killing 18 people.</v>
      </c>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6" x14ac:dyDescent="0.3">
      <c r="A721" s="18" t="s">
        <v>5</v>
      </c>
      <c r="B721" s="24" t="s">
        <v>726</v>
      </c>
      <c r="C721" s="2" t="str">
        <f ca="1">IFERROR(__xludf.DUMMYFUNCTION("GOOGLETRANSLATE(B721, ""bn"", ""en"")"),"Clashes broke out during a religious festival between Hindus and Muslims in Mymensingh. At least 29 people were killed and many injured in the clash. Incidents of arson and vandalism also occurred during the conflict, disrupting the peace and social fabri"&amp;"c of the area.")</f>
        <v>Clashes broke out during a religious festival between Hindus and Muslims in Mymensingh. At least 29 people were killed and many injured in the clash. Incidents of arson and vandalism also occurred during the conflict, disrupting the peace and social fabric of the area.</v>
      </c>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6" x14ac:dyDescent="0.3">
      <c r="A722" s="18" t="s">
        <v>23</v>
      </c>
      <c r="B722" s="25" t="s">
        <v>727</v>
      </c>
      <c r="C722" s="2" t="str">
        <f ca="1">IFERROR(__xludf.DUMMYFUNCTION("GOOGLETRANSLATE(B722, ""bn"", ""en"")"),"Many Hindu families live in Comilla. We have not seen such jamela. But there needs to be a proper investigation of who or who created this ferocity at this time")</f>
        <v>Many Hindu families live in Comilla. We have not seen such jamela. But there needs to be a proper investigation of who or who created this ferocity at this time</v>
      </c>
      <c r="D722" s="2"/>
      <c r="E722" s="2"/>
      <c r="F722" s="2"/>
      <c r="G722" s="2"/>
      <c r="H722" s="5"/>
      <c r="I722" s="5"/>
      <c r="J722" s="5"/>
      <c r="K722" s="5"/>
      <c r="L722" s="5"/>
      <c r="M722" s="5"/>
      <c r="N722" s="5"/>
      <c r="O722" s="5"/>
      <c r="P722" s="5"/>
      <c r="Q722" s="5"/>
      <c r="R722" s="5"/>
      <c r="S722" s="5"/>
      <c r="T722" s="5"/>
      <c r="U722" s="5"/>
      <c r="V722" s="5"/>
      <c r="W722" s="5"/>
      <c r="X722" s="5"/>
      <c r="Y722" s="5"/>
      <c r="Z722" s="5"/>
    </row>
    <row r="723" spans="1:26" ht="15.6" x14ac:dyDescent="0.3">
      <c r="A723" s="19" t="s">
        <v>5</v>
      </c>
      <c r="B723" s="26" t="s">
        <v>728</v>
      </c>
      <c r="C723" s="2" t="str">
        <f ca="1">IFERROR(__xludf.DUMMYFUNCTION("GOOGLETRANSLATE(B723, ""bn"", ""en"")"),"After the massacre, Nadia became a deserted village and the dead bodies lay there for lack of cremation. The skeletons of Kamini Kumar Dev and his wife were recovered from their burnt house two days later. As the stench of the corpses became unbearable, t"&amp;"he Rajakars asked their relatives to bury the corpses or threatened to kill them.")</f>
        <v>After the massacre, Nadia became a deserted village and the dead bodies lay there for lack of cremation. The skeletons of Kamini Kumar Dev and his wife were recovered from their burnt house two days later. As the stench of the corpses became unbearable, the Rajakars asked their relatives to bury the corpses or threatened to kill them.</v>
      </c>
      <c r="D723" s="7"/>
      <c r="E723" s="7"/>
      <c r="F723" s="7"/>
      <c r="G723" s="7"/>
      <c r="H723" s="7"/>
      <c r="I723" s="7"/>
      <c r="J723" s="7"/>
      <c r="K723" s="7"/>
      <c r="L723" s="7"/>
      <c r="M723" s="7"/>
      <c r="N723" s="7"/>
      <c r="O723" s="7"/>
      <c r="P723" s="5"/>
      <c r="Q723" s="5"/>
      <c r="R723" s="5"/>
      <c r="S723" s="5"/>
      <c r="T723" s="5"/>
      <c r="U723" s="5"/>
      <c r="V723" s="5"/>
      <c r="W723" s="5"/>
      <c r="X723" s="5"/>
      <c r="Y723" s="5"/>
      <c r="Z723" s="5"/>
    </row>
    <row r="724" spans="1:26" ht="15.6" x14ac:dyDescent="0.3">
      <c r="A724" s="18" t="s">
        <v>8</v>
      </c>
      <c r="B724" s="24" t="s">
        <v>729</v>
      </c>
      <c r="C724" s="2" t="str">
        <f ca="1">IFERROR(__xludf.DUMMYFUNCTION("GOOGLETRANSLATE(B724, ""bn"", ""en"")"),"Religiously hateful posters were put up outside a church in Sunamganj to create tension, creating rifts in the local community.")</f>
        <v>Religiously hateful posters were put up outside a church in Sunamganj to create tension, creating rifts in the local community.</v>
      </c>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6" x14ac:dyDescent="0.3">
      <c r="A725" s="18" t="s">
        <v>23</v>
      </c>
      <c r="B725" s="25" t="s">
        <v>730</v>
      </c>
      <c r="C725" s="2" t="str">
        <f ca="1">IFERROR(__xludf.DUMMYFUNCTION("GOOGLETRANSLATE(B725, ""bn"", ""en"")"),"What kind of freedom of speech is burning the Holy Quran? It is nothing but revenge. Strongly condemn and protest against it.")</f>
        <v>What kind of freedom of speech is burning the Holy Quran? It is nothing but revenge. Strongly condemn and protest against it.</v>
      </c>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6" x14ac:dyDescent="0.3">
      <c r="A726" s="19" t="s">
        <v>3</v>
      </c>
      <c r="B726" s="26" t="s">
        <v>731</v>
      </c>
      <c r="C726" s="2" t="str">
        <f ca="1">IFERROR(__xludf.DUMMYFUNCTION("GOOGLETRANSLATE(B726, ""bn"", ""en"")"),"High caste Brahmins played an important role in religious debates. They were not so vocal against the Buddha's philosophical teachings. But when the foundation stone of Brahmanism, i.e., the divinity, lordship and authority of the Brahmins preserved in th"&amp;"e Vedas from ancient times, was questioned in Buddhism, they were totally opposed to it.")</f>
        <v>High caste Brahmins played an important role in religious debates. They were not so vocal against the Buddha's philosophical teachings. But when the foundation stone of Brahmanism, i.e., the divinity, lordship and authority of the Brahmins preserved in the Vedas from ancient times, was questioned in Buddhism, they were totally opposed to it.</v>
      </c>
      <c r="D726" s="7"/>
      <c r="E726" s="7"/>
      <c r="F726" s="7"/>
      <c r="G726" s="7"/>
      <c r="H726" s="7"/>
      <c r="I726" s="7"/>
      <c r="J726" s="7"/>
      <c r="K726" s="7"/>
      <c r="L726" s="5"/>
      <c r="M726" s="5"/>
      <c r="N726" s="5"/>
      <c r="O726" s="5"/>
      <c r="P726" s="5"/>
      <c r="Q726" s="5"/>
      <c r="R726" s="5"/>
      <c r="S726" s="5"/>
      <c r="T726" s="5"/>
      <c r="U726" s="5"/>
      <c r="V726" s="5"/>
      <c r="W726" s="5"/>
      <c r="X726" s="5"/>
      <c r="Y726" s="5"/>
      <c r="Z726" s="5"/>
    </row>
    <row r="727" spans="1:26" ht="15.6" x14ac:dyDescent="0.3">
      <c r="A727" s="19" t="s">
        <v>3</v>
      </c>
      <c r="B727" s="26" t="s">
        <v>732</v>
      </c>
      <c r="C727" s="2" t="str">
        <f ca="1">IFERROR(__xludf.DUMMYFUNCTION("GOOGLETRANSLATE(B727, ""bn"", ""en"")"),"It is natural to fall into sectarianism and bigotry if you grow up without the necessary knowledge including the liberation war and the constitution; Special education is essential.")</f>
        <v>It is natural to fall into sectarianism and bigotry if you grow up without the necessary knowledge including the liberation war and the constitution; Special education is essential.</v>
      </c>
      <c r="D727" s="7"/>
      <c r="E727" s="7"/>
      <c r="F727" s="7"/>
      <c r="G727" s="7"/>
      <c r="H727" s="7"/>
      <c r="I727" s="5"/>
      <c r="J727" s="5"/>
      <c r="K727" s="5"/>
      <c r="L727" s="5"/>
      <c r="M727" s="5"/>
      <c r="N727" s="5"/>
      <c r="O727" s="5"/>
      <c r="P727" s="5"/>
      <c r="Q727" s="5"/>
      <c r="R727" s="5"/>
      <c r="S727" s="5"/>
      <c r="T727" s="5"/>
      <c r="U727" s="5"/>
      <c r="V727" s="5"/>
      <c r="W727" s="5"/>
      <c r="X727" s="5"/>
      <c r="Y727" s="5"/>
      <c r="Z727" s="5"/>
    </row>
    <row r="728" spans="1:26" ht="15.6" x14ac:dyDescent="0.3">
      <c r="A728" s="19" t="s">
        <v>3</v>
      </c>
      <c r="B728" s="26" t="s">
        <v>733</v>
      </c>
      <c r="C728" s="2" t="str">
        <f ca="1">IFERROR(__xludf.DUMMYFUNCTION("GOOGLETRANSLATE(B728, ""bn"", ""en"")"),"Before the arrival of Muslims, Buddhists were under the social and political influence of Hindus, Bengal was also dominated by Hindu rulers and Brahmins.")</f>
        <v>Before the arrival of Muslims, Buddhists were under the social and political influence of Hindus, Bengal was also dominated by Hindu rulers and Brahmins.</v>
      </c>
      <c r="D728" s="7"/>
      <c r="E728" s="7"/>
      <c r="F728" s="7"/>
      <c r="G728" s="7"/>
      <c r="H728" s="7"/>
      <c r="I728" s="7"/>
      <c r="J728" s="7"/>
      <c r="K728" s="7"/>
      <c r="L728" s="5"/>
      <c r="M728" s="5"/>
      <c r="N728" s="5"/>
      <c r="O728" s="5"/>
      <c r="P728" s="5"/>
      <c r="Q728" s="5"/>
      <c r="R728" s="5"/>
      <c r="S728" s="5"/>
      <c r="T728" s="5"/>
      <c r="U728" s="5"/>
      <c r="V728" s="5"/>
      <c r="W728" s="5"/>
      <c r="X728" s="5"/>
      <c r="Y728" s="5"/>
      <c r="Z728" s="5"/>
    </row>
    <row r="729" spans="1:26" ht="15.6" x14ac:dyDescent="0.3">
      <c r="A729" s="18" t="s">
        <v>5</v>
      </c>
      <c r="B729" s="24" t="s">
        <v>734</v>
      </c>
      <c r="C729" s="2" t="str">
        <f ca="1">IFERROR(__xludf.DUMMYFUNCTION("GOOGLETRANSLATE(B729, ""bn"", ""en"")"),"In August 2016, a group attacked the homes of minorities, looted their property and brutally killed 27 people. Later, the injured left the village without getting safety.")</f>
        <v>In August 2016, a group attacked the homes of minorities, looted their property and brutally killed 27 people. Later, the injured left the village without getting safety.</v>
      </c>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6" x14ac:dyDescent="0.3">
      <c r="A730" s="18" t="s">
        <v>5</v>
      </c>
      <c r="B730" s="24" t="s">
        <v>735</v>
      </c>
      <c r="C730" s="2" t="str">
        <f ca="1">IFERROR(__xludf.DUMMYFUNCTION("GOOGLETRANSLATE(B730, ""bn"", ""en"")"),"In Chapai Nawabganj, 40 people were killed in a religious conflict. Police were active in stopping the violence but the crowd did not calm down. The government urged everyone to remain calm to maintain religious harmony. Many families leave the village fo"&amp;"r security reasons.")</f>
        <v>In Chapai Nawabganj, 40 people were killed in a religious conflict. Police were active in stopping the violence but the crowd did not calm down. The government urged everyone to remain calm to maintain religious harmony. Many families leave the village for security reasons.</v>
      </c>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6" x14ac:dyDescent="0.3">
      <c r="A731" s="19" t="s">
        <v>23</v>
      </c>
      <c r="B731" s="26" t="s">
        <v>736</v>
      </c>
      <c r="C731" s="2" t="str">
        <f ca="1">IFERROR(__xludf.DUMMYFUNCTION("GOOGLETRANSLATE(B731, ""bn"", ""en"")"),"Today in our country this reality has been created that if someone has said something against Islam, if it can be propagated, then any disaster is possible.")</f>
        <v>Today in our country this reality has been created that if someone has said something against Islam, if it can be propagated, then any disaster is possible.</v>
      </c>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6" x14ac:dyDescent="0.3">
      <c r="A732" s="18" t="s">
        <v>23</v>
      </c>
      <c r="B732" s="25" t="s">
        <v>737</v>
      </c>
      <c r="C732" s="2" t="str">
        <f ca="1">IFERROR(__xludf.DUMMYFUNCTION("GOOGLETRANSLATE(B732, ""bn"", ""en"")"),"The hypocrite masters have made the Koran a commodity because of them Islam is on the way to destruction, and people are blind and ready to give their lives.")</f>
        <v>The hypocrite masters have made the Koran a commodity because of them Islam is on the way to destruction, and people are blind and ready to give their lives.</v>
      </c>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6" x14ac:dyDescent="0.3">
      <c r="A733" s="18" t="s">
        <v>23</v>
      </c>
      <c r="B733" s="24" t="s">
        <v>738</v>
      </c>
      <c r="C733" s="2" t="str">
        <f ca="1">IFERROR(__xludf.DUMMYFUNCTION("GOOGLETRANSLATE(B733, ""bn"", ""en"")"),"Those who make fun of Islam, please unfriend yourself. Hate speech about religion is not acceptable.")</f>
        <v>Those who make fun of Islam, please unfriend yourself. Hate speech about religion is not acceptable.</v>
      </c>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6" x14ac:dyDescent="0.3">
      <c r="A734" s="18" t="s">
        <v>5</v>
      </c>
      <c r="B734" s="24" t="s">
        <v>739</v>
      </c>
      <c r="C734" s="2" t="str">
        <f ca="1">IFERROR(__xludf.DUMMYFUNCTION("GOOGLETRANSLATE(B734, ""bn"", ""en"")"),"At least 36 people lost their lives and many were injured in firing by security forces in Narayanganj Hindu-Muslim clashes.")</f>
        <v>At least 36 people lost their lives and many were injured in firing by security forces in Narayanganj Hindu-Muslim clashes.</v>
      </c>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6" x14ac:dyDescent="0.3">
      <c r="A735" s="18" t="s">
        <v>8</v>
      </c>
      <c r="B735" s="25" t="s">
        <v>740</v>
      </c>
      <c r="C735" s="2" t="str">
        <f ca="1">IFERROR(__xludf.DUMMYFUNCTION("GOOGLETRANSLATE(B735, ""bn"", ""en"")"),"Many of the audience reportedly started attacking Hindus and looting Hindu shops while returning after the rally.[3][29] Later, lorries (trucks) carrying radical Muslim goons armed with brickbats were reported to have arrived on Harrison Road in Kolkata a"&amp;"nd attacked Hindu-owned shops.")</f>
        <v>Many of the audience reportedly started attacking Hindus and looting Hindu shops while returning after the rally.[3][29] Later, lorries (trucks) carrying radical Muslim goons armed with brickbats were reported to have arrived on Harrison Road in Kolkata and attacked Hindu-owned shops.</v>
      </c>
      <c r="D735" s="2"/>
      <c r="E735" s="2"/>
      <c r="F735" s="2"/>
      <c r="G735" s="2"/>
      <c r="H735" s="3"/>
      <c r="I735" s="3"/>
      <c r="J735" s="3"/>
      <c r="K735" s="3"/>
      <c r="L735" s="3"/>
      <c r="M735" s="3"/>
      <c r="N735" s="3"/>
      <c r="O735" s="3"/>
      <c r="P735" s="3"/>
      <c r="Q735" s="3"/>
      <c r="R735" s="3"/>
      <c r="S735" s="3"/>
      <c r="T735" s="3"/>
      <c r="U735" s="3"/>
      <c r="V735" s="3"/>
      <c r="W735" s="3"/>
      <c r="X735" s="3"/>
      <c r="Y735" s="3"/>
      <c r="Z735" s="3"/>
    </row>
    <row r="736" spans="1:26" ht="15.6" x14ac:dyDescent="0.3">
      <c r="A736" s="18" t="s">
        <v>5</v>
      </c>
      <c r="B736" s="26" t="s">
        <v>741</v>
      </c>
      <c r="C736" s="2" t="str">
        <f ca="1">IFERROR(__xludf.DUMMYFUNCTION("GOOGLETRANSLATE(B736, ""bn"", ""en"")"),"On the occasion of that horrifying Genocide Day, the Islamic Progressive Janata Front organized a protest and discussion meeting to stop the murderous rape and repression against millions of Muslims.")</f>
        <v>On the occasion of that horrifying Genocide Day, the Islamic Progressive Janata Front organized a protest and discussion meeting to stop the murderous rape and repression against millions of Muslims.</v>
      </c>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6" x14ac:dyDescent="0.3">
      <c r="A737" s="18" t="s">
        <v>5</v>
      </c>
      <c r="B737" s="24" t="s">
        <v>742</v>
      </c>
      <c r="C737" s="2" t="str">
        <f ca="1">IFERROR(__xludf.DUMMYFUNCTION("GOOGLETRANSLATE(B737, ""bn"", ""en"")"),"42 people lost their lives in Bagerhat clashes due to religious differences. As police failed to quell the violence, the government called for calm. Many families seek shelter for safety.")</f>
        <v>42 people lost their lives in Bagerhat clashes due to religious differences. As police failed to quell the violence, the government called for calm. Many families seek shelter for safety.</v>
      </c>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6" x14ac:dyDescent="0.3">
      <c r="A738" s="18" t="s">
        <v>5</v>
      </c>
      <c r="B738" s="24" t="s">
        <v>743</v>
      </c>
      <c r="C738" s="2" t="str">
        <f ca="1">IFERROR(__xludf.DUMMYFUNCTION("GOOGLETRANSLATE(B738, ""bn"", ""en"")"),"In July 2016, an only child from a Hindu family was expelled from school due to religious pressure, later committed suicide and 10 others were killed in protests.")</f>
        <v>In July 2016, an only child from a Hindu family was expelled from school due to religious pressure, later committed suicide and 10 others were killed in protests.</v>
      </c>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6" x14ac:dyDescent="0.3">
      <c r="A739" s="18" t="s">
        <v>23</v>
      </c>
      <c r="B739" s="25" t="s">
        <v>744</v>
      </c>
      <c r="C739" s="2" t="str">
        <f ca="1">IFERROR(__xludf.DUMMYFUNCTION("GOOGLETRANSLATE(B739, ""bn"", ""en"")"),"Insulting the Prophet is deserving of contempt and hatred from all sides. It is a crime which Allah Almighty has taken into His own hands.")</f>
        <v>Insulting the Prophet is deserving of contempt and hatred from all sides. It is a crime which Allah Almighty has taken into His own hands.</v>
      </c>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6" x14ac:dyDescent="0.3">
      <c r="A740" s="19" t="s">
        <v>3</v>
      </c>
      <c r="B740" s="24" t="s">
        <v>745</v>
      </c>
      <c r="C740" s="2" t="str">
        <f ca="1">IFERROR(__xludf.DUMMYFUNCTION("GOOGLETRANSLATE(B740, ""bn"", ""en"")"),"Muhammad (pbuh) recited the Qur'an to you and taught you the importance of prayer, fasting and self-sacrifice for religion.")</f>
        <v>Muhammad (pbuh) recited the Qur'an to you and taught you the importance of prayer, fasting and self-sacrifice for religion.</v>
      </c>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6" x14ac:dyDescent="0.3">
      <c r="A741" s="18" t="s">
        <v>8</v>
      </c>
      <c r="B741" s="25" t="s">
        <v>746</v>
      </c>
      <c r="C741" s="2" t="str">
        <f ca="1">IFERROR(__xludf.DUMMYFUNCTION("GOOGLETRANSLATE(B741, ""bn"", ""en"")"),"The barbaric torture of Muslims on Hindus caused boundless shame and grief in the minds of the real educated Muslims there. [47] At that time some political personalities like Ataur Rahman Khan, Sheikh Mujibur Rahman, Mamud Ali, Zillur Hossain, Tofazzal H"&amp;"ossain visited some shelters.")</f>
        <v>The barbaric torture of Muslims on Hindus caused boundless shame and grief in the minds of the real educated Muslims there. [47] At that time some political personalities like Ataur Rahman Khan, Sheikh Mujibur Rahman, Mamud Ali, Zillur Hossain, Tofazzal Hossain visited some shelters.</v>
      </c>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6" x14ac:dyDescent="0.3">
      <c r="A742" s="18" t="s">
        <v>23</v>
      </c>
      <c r="B742" s="25" t="s">
        <v>747</v>
      </c>
      <c r="C742" s="2" t="str">
        <f ca="1">IFERROR(__xludf.DUMMYFUNCTION("GOOGLETRANSLATE(B742, ""bn"", ""en"")"),"Be it Hindu, Muslim, Buddhist, Christian, any community caste. Those who look at religion with so much passion, the nation or the country can never progress.")</f>
        <v>Be it Hindu, Muslim, Buddhist, Christian, any community caste. Those who look at religion with so much passion, the nation or the country can never progress.</v>
      </c>
      <c r="D742" s="2"/>
      <c r="E742" s="2"/>
      <c r="F742" s="2"/>
      <c r="G742" s="2"/>
      <c r="H742" s="3"/>
      <c r="I742" s="3"/>
      <c r="J742" s="3"/>
      <c r="K742" s="3"/>
      <c r="L742" s="3"/>
      <c r="M742" s="3"/>
      <c r="N742" s="3"/>
      <c r="O742" s="3"/>
      <c r="P742" s="3"/>
      <c r="Q742" s="3"/>
      <c r="R742" s="3"/>
      <c r="S742" s="3"/>
      <c r="T742" s="3"/>
      <c r="U742" s="3"/>
      <c r="V742" s="3"/>
      <c r="W742" s="3"/>
      <c r="X742" s="3"/>
      <c r="Y742" s="3"/>
      <c r="Z742" s="3"/>
    </row>
    <row r="743" spans="1:26" ht="15.6" x14ac:dyDescent="0.3">
      <c r="A743" s="18" t="s">
        <v>8</v>
      </c>
      <c r="B743" s="25" t="s">
        <v>748</v>
      </c>
      <c r="C743" s="2" t="str">
        <f ca="1">IFERROR(__xludf.DUMMYFUNCTION("GOOGLETRANSLATE(B743, ""bn"", ""en"")"),"On Friday, October 15, 2021, several hundred people started a protest march with the banner of 'Malibagh Muslim Samaj' after Friday prayers from Baitul Mukarram in Dhaka, alleging 'desecration of Quran' in Comilla.")</f>
        <v>On Friday, October 15, 2021, several hundred people started a protest march with the banner of 'Malibagh Muslim Samaj' after Friday prayers from Baitul Mukarram in Dhaka, alleging 'desecration of Quran' in Comilla.</v>
      </c>
      <c r="D743" s="6"/>
      <c r="E743" s="6"/>
      <c r="F743" s="2"/>
      <c r="G743" s="2"/>
      <c r="H743" s="5"/>
      <c r="I743" s="5"/>
      <c r="J743" s="5"/>
      <c r="K743" s="5"/>
      <c r="L743" s="5"/>
      <c r="M743" s="5"/>
      <c r="N743" s="5"/>
      <c r="O743" s="5"/>
      <c r="P743" s="5"/>
      <c r="Q743" s="5"/>
      <c r="R743" s="5"/>
      <c r="S743" s="5"/>
      <c r="T743" s="5"/>
      <c r="U743" s="5"/>
      <c r="V743" s="5"/>
      <c r="W743" s="5"/>
      <c r="X743" s="5"/>
      <c r="Y743" s="5"/>
      <c r="Z743" s="5"/>
    </row>
    <row r="744" spans="1:26" ht="15.6" x14ac:dyDescent="0.3">
      <c r="A744" s="18" t="s">
        <v>8</v>
      </c>
      <c r="B744" s="24" t="s">
        <v>749</v>
      </c>
      <c r="C744" s="2" t="str">
        <f ca="1">IFERROR(__xludf.DUMMYFUNCTION("GOOGLETRANSLATE(B744, ""bn"", ""en"")"),"Hateful and violent slogans were inscribed on the minaret of a mosque in Chittagong, which had a serious impact on religious tolerance.")</f>
        <v>Hateful and violent slogans were inscribed on the minaret of a mosque in Chittagong, which had a serious impact on religious tolerance.</v>
      </c>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6" x14ac:dyDescent="0.3">
      <c r="A745" s="18" t="s">
        <v>8</v>
      </c>
      <c r="B745" s="25" t="s">
        <v>750</v>
      </c>
      <c r="C745" s="2" t="str">
        <f ca="1">IFERROR(__xludf.DUMMYFUNCTION("GOOGLETRANSLATE(B745, ""bn"", ""en"")"),"Muslims completely wiped out 203 Hindu villages and destroyed 800 Hindu temples. 500 Manipuri families of Dhamai, Baradhami, Pubghat, Baritli villages suffered due to Muslim attack.")</f>
        <v>Muslims completely wiped out 203 Hindu villages and destroyed 800 Hindu temples. 500 Manipuri families of Dhamai, Baradhami, Pubghat, Baritli villages suffered due to Muslim attack.</v>
      </c>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6" x14ac:dyDescent="0.3">
      <c r="A746" s="18" t="s">
        <v>5</v>
      </c>
      <c r="B746" s="24" t="s">
        <v>751</v>
      </c>
      <c r="C746" s="2" t="str">
        <f ca="1">IFERROR(__xludf.DUMMYFUNCTION("GOOGLETRANSLATE(B746, ""bn"", ""en"")"),"A religious group attacked the hospital and opened fire on patients, killing 28.")</f>
        <v>A religious group attacked the hospital and opened fire on patients, killing 28.</v>
      </c>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6" x14ac:dyDescent="0.3">
      <c r="A747" s="18" t="s">
        <v>5</v>
      </c>
      <c r="B747" s="25" t="s">
        <v>752</v>
      </c>
      <c r="C747" s="2" t="str">
        <f ca="1">IFERROR(__xludf.DUMMYFUNCTION("GOOGLETRANSLATE(B747, ""bn"", ""en"")"),"Seven Muslims were killed in the religious attack, their brutal killings and the brutality targeting religious sites is seen as part of religious extremism.")</f>
        <v>Seven Muslims were killed in the religious attack, their brutal killings and the brutality targeting religious sites is seen as part of religious extremism.</v>
      </c>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6" x14ac:dyDescent="0.3">
      <c r="A748" s="18" t="s">
        <v>3</v>
      </c>
      <c r="B748" s="25" t="s">
        <v>753</v>
      </c>
      <c r="C748" s="2" t="str">
        <f ca="1">IFERROR(__xludf.DUMMYFUNCTION("GOOGLETRANSLATE(B748, ""bn"", ""en"")"),"In the past too when religious sentiments have been hurt, there have been protests. We should not hurt the sentiments of any religion, because it is our responsibility to respect all religions.")</f>
        <v>In the past too when religious sentiments have been hurt, there have been protests. We should not hurt the sentiments of any religion, because it is our responsibility to respect all religions.</v>
      </c>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6" x14ac:dyDescent="0.3">
      <c r="A749" s="18" t="s">
        <v>3</v>
      </c>
      <c r="B749" s="24" t="s">
        <v>754</v>
      </c>
      <c r="C749" s="2" t="str">
        <f ca="1">IFERROR(__xludf.DUMMYFUNCTION("GOOGLETRANSLATE(B749, ""bn"", ""en"")"),"Al-Qur'an is pure and true, a guide for mankind. It cannot be suppressed. Allah is patient, but does not spare the wrongdoers. God is great.")</f>
        <v>Al-Qur'an is pure and true, a guide for mankind. It cannot be suppressed. Allah is patient, but does not spare the wrongdoers. God is great.</v>
      </c>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6" x14ac:dyDescent="0.3">
      <c r="A750" s="18" t="s">
        <v>8</v>
      </c>
      <c r="B750" s="25" t="s">
        <v>755</v>
      </c>
      <c r="C750" s="2" t="str">
        <f ca="1">IFERROR(__xludf.DUMMYFUNCTION("GOOGLETRANSLATE(B750, ""bn"", ""en"")"),"Hundreds of Hindu villages around Dhaka have been burned in religious hatred, with 95 percent of homes destroyed by extremist groups, a clear reflection of religious violence.")</f>
        <v>Hundreds of Hindu villages around Dhaka have been burned in religious hatred, with 95 percent of homes destroyed by extremist groups, a clear reflection of religious violence.</v>
      </c>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6" x14ac:dyDescent="0.3">
      <c r="A751" s="18" t="s">
        <v>5</v>
      </c>
      <c r="B751" s="25" t="s">
        <v>756</v>
      </c>
      <c r="C751" s="2" t="str">
        <f ca="1">IFERROR(__xludf.DUMMYFUNCTION("GOOGLETRANSLATE(B751, ""bn"", ""en"")"),"Suicide attack in the name of religion is glorified as Jihad whereas according to religion suicide is a great sin where innocent people die is the greatest religious inhumanity and violence.")</f>
        <v>Suicide attack in the name of religion is glorified as Jihad whereas according to religion suicide is a great sin where innocent people die is the greatest religious inhumanity and violence.</v>
      </c>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6" x14ac:dyDescent="0.3">
      <c r="A752" s="18" t="s">
        <v>3</v>
      </c>
      <c r="B752" s="25" t="s">
        <v>757</v>
      </c>
      <c r="C752" s="2" t="str">
        <f ca="1">IFERROR(__xludf.DUMMYFUNCTION("GOOGLETRANSLATE(B752, ""bn"", ""en"")"),"It is stated in the Qur'an that Allah says, ""I have sent down the Qur'an, and I myself will preserve the Qur'an."" O you protect our holy book Quran Ameen.")</f>
        <v>It is stated in the Qur'an that Allah says, "I have sent down the Qur'an, and I myself will preserve the Qur'an." O you protect our holy book Quran Ameen.</v>
      </c>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6" x14ac:dyDescent="0.3">
      <c r="A753" s="18" t="s">
        <v>5</v>
      </c>
      <c r="B753" s="25" t="s">
        <v>758</v>
      </c>
      <c r="C753" s="2" t="str">
        <f ca="1">IFERROR(__xludf.DUMMYFUNCTION("GOOGLETRANSLATE(B753, ""bn"", ""en"")"),"There is some confusion about the death toll in the Golahat massacre. According to Bangladesh News Agency and Prothom Alo, 437 Hindus were killed in the massacre.")</f>
        <v>There is some confusion about the death toll in the Golahat massacre. According to Bangladesh News Agency and Prothom Alo, 437 Hindus were killed in the massacre.</v>
      </c>
      <c r="D753" s="2"/>
      <c r="E753" s="2"/>
      <c r="F753" s="2"/>
      <c r="G753" s="2"/>
      <c r="H753" s="5"/>
      <c r="I753" s="5"/>
      <c r="J753" s="5"/>
      <c r="K753" s="5"/>
      <c r="L753" s="5"/>
      <c r="M753" s="5"/>
      <c r="N753" s="5"/>
      <c r="O753" s="5"/>
      <c r="P753" s="5"/>
      <c r="Q753" s="5"/>
      <c r="R753" s="5"/>
      <c r="S753" s="5"/>
      <c r="T753" s="5"/>
      <c r="U753" s="5"/>
      <c r="V753" s="5"/>
      <c r="W753" s="5"/>
      <c r="X753" s="5"/>
      <c r="Y753" s="5"/>
      <c r="Z753" s="5"/>
    </row>
    <row r="754" spans="1:26" ht="15.6" x14ac:dyDescent="0.3">
      <c r="A754" s="19" t="s">
        <v>8</v>
      </c>
      <c r="B754" s="26" t="s">
        <v>759</v>
      </c>
      <c r="C754" s="2" t="str">
        <f ca="1">IFERROR(__xludf.DUMMYFUNCTION("GOOGLETRANSLATE(B754, ""bn"", ""en"")"),"29 cases of encroachment of temple land, 501 organized attacks, 56 attacks on temples, vandalism and arson, 219 idols vandalized, 50 idols stolen, 63 cases of injury to religious sentiments have also occurred in the country. 57 religious institutions were"&amp;" desecrated, 60 religious ceremonies were prevented, 100 people were fed religious forbidden food.")</f>
        <v>29 cases of encroachment of temple land, 501 organized attacks, 56 attacks on temples, vandalism and arson, 219 idols vandalized, 50 idols stolen, 63 cases of injury to religious sentiments have also occurred in the country. 57 religious institutions were desecrated, 60 religious ceremonies were prevented, 100 people were fed religious forbidden food.</v>
      </c>
      <c r="D754" s="7"/>
      <c r="E754" s="7"/>
      <c r="F754" s="7"/>
      <c r="G754" s="7"/>
      <c r="H754" s="7"/>
      <c r="I754" s="7"/>
      <c r="J754" s="7"/>
      <c r="K754" s="7"/>
      <c r="L754" s="5"/>
      <c r="M754" s="5"/>
      <c r="N754" s="5"/>
      <c r="O754" s="5"/>
      <c r="P754" s="5"/>
      <c r="Q754" s="5"/>
      <c r="R754" s="5"/>
      <c r="S754" s="5"/>
      <c r="T754" s="5"/>
      <c r="U754" s="5"/>
      <c r="V754" s="5"/>
      <c r="W754" s="5"/>
      <c r="X754" s="5"/>
      <c r="Y754" s="5"/>
      <c r="Z754" s="5"/>
    </row>
    <row r="755" spans="1:26" ht="15.6" x14ac:dyDescent="0.3">
      <c r="A755" s="19" t="s">
        <v>3</v>
      </c>
      <c r="B755" s="26" t="s">
        <v>760</v>
      </c>
      <c r="C755" s="2" t="str">
        <f ca="1">IFERROR(__xludf.DUMMYFUNCTION("GOOGLETRANSLATE(B755, ""bn"", ""en"")"),"Adherence to religion breeds goodwill and harmony among people, as all religions seek the welfare of humanity and people of different religions live in love and compassion.")</f>
        <v>Adherence to religion breeds goodwill and harmony among people, as all religions seek the welfare of humanity and people of different religions live in love and compassion.</v>
      </c>
      <c r="D755" s="7"/>
      <c r="E755" s="7"/>
      <c r="F755" s="7"/>
      <c r="G755" s="7"/>
      <c r="H755" s="7"/>
      <c r="I755" s="7"/>
      <c r="J755" s="7"/>
      <c r="K755" s="7"/>
      <c r="L755" s="7"/>
      <c r="M755" s="5"/>
      <c r="N755" s="5"/>
      <c r="O755" s="5"/>
      <c r="P755" s="5"/>
      <c r="Q755" s="5"/>
      <c r="R755" s="5"/>
      <c r="S755" s="5"/>
      <c r="T755" s="5"/>
      <c r="U755" s="5"/>
      <c r="V755" s="5"/>
      <c r="W755" s="5"/>
      <c r="X755" s="5"/>
      <c r="Y755" s="5"/>
      <c r="Z755" s="5"/>
    </row>
    <row r="756" spans="1:26" ht="15.6" x14ac:dyDescent="0.3">
      <c r="A756" s="18" t="s">
        <v>8</v>
      </c>
      <c r="B756" s="25" t="s">
        <v>761</v>
      </c>
      <c r="C756" s="2" t="str">
        <f ca="1">IFERROR(__xludf.DUMMYFUNCTION("GOOGLETRANSLATE(B756, ""bn"", ""en"")"),"In 2019, a group of miscreants stormed into the church, injuring many Christian worshippers.")</f>
        <v>In 2019, a group of miscreants stormed into the church, injuring many Christian worshippers.</v>
      </c>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6" x14ac:dyDescent="0.3">
      <c r="A757" s="19" t="s">
        <v>5</v>
      </c>
      <c r="B757" s="26" t="s">
        <v>762</v>
      </c>
      <c r="C757" s="2" t="str">
        <f ca="1">IFERROR(__xludf.DUMMYFUNCTION("GOOGLETRANSLATE(B757, ""bn"", ""en"")"),"Temples were attacked in Ekhlaspur and Noakhali, idols were vandalized and more than 200 ISKCON members were brutally killed, temples and tombs were destroyed.")</f>
        <v>Temples were attacked in Ekhlaspur and Noakhali, idols were vandalized and more than 200 ISKCON members were brutally killed, temples and tombs were destroyed.</v>
      </c>
      <c r="D757" s="7"/>
      <c r="E757" s="7"/>
      <c r="F757" s="7"/>
      <c r="G757" s="7"/>
      <c r="H757" s="7"/>
      <c r="I757" s="7"/>
      <c r="J757" s="7"/>
      <c r="K757" s="7"/>
      <c r="L757" s="7"/>
      <c r="M757" s="5"/>
      <c r="N757" s="5"/>
      <c r="O757" s="5"/>
      <c r="P757" s="5"/>
      <c r="Q757" s="5"/>
      <c r="R757" s="5"/>
      <c r="S757" s="5"/>
      <c r="T757" s="5"/>
      <c r="U757" s="5"/>
      <c r="V757" s="5"/>
      <c r="W757" s="5"/>
      <c r="X757" s="5"/>
      <c r="Y757" s="5"/>
      <c r="Z757" s="5"/>
    </row>
    <row r="758" spans="1:26" ht="15.6" x14ac:dyDescent="0.3">
      <c r="A758" s="19" t="s">
        <v>3</v>
      </c>
      <c r="B758" s="26" t="s">
        <v>763</v>
      </c>
      <c r="C758" s="2" t="str">
        <f ca="1">IFERROR(__xludf.DUMMYFUNCTION("GOOGLETRANSLATE(B758, ""bn"", ""en"")"),"Not only an Islamic religious institution but also an Islamic law, state and other institutions governing society. Religious (private) and secular (public) were not separated by some Muslim thinkers until the 20th century, and were formally separated in c"&amp;"ertain places such as Turkey.")</f>
        <v>Not only an Islamic religious institution but also an Islamic law, state and other institutions governing society. Religious (private) and secular (public) were not separated by some Muslim thinkers until the 20th century, and were formally separated in certain places such as Turkey.</v>
      </c>
      <c r="D758" s="7"/>
      <c r="E758" s="7"/>
      <c r="F758" s="7"/>
      <c r="G758" s="7"/>
      <c r="H758" s="7"/>
      <c r="I758" s="7"/>
      <c r="J758" s="7"/>
      <c r="K758" s="7"/>
      <c r="L758" s="5"/>
      <c r="M758" s="5"/>
      <c r="N758" s="5"/>
      <c r="O758" s="5"/>
      <c r="P758" s="5"/>
      <c r="Q758" s="5"/>
      <c r="R758" s="5"/>
      <c r="S758" s="5"/>
      <c r="T758" s="5"/>
      <c r="U758" s="5"/>
      <c r="V758" s="5"/>
      <c r="W758" s="5"/>
      <c r="X758" s="5"/>
      <c r="Y758" s="5"/>
      <c r="Z758" s="5"/>
    </row>
    <row r="759" spans="1:26" ht="15.6" x14ac:dyDescent="0.3">
      <c r="A759" s="18" t="s">
        <v>3</v>
      </c>
      <c r="B759" s="25" t="s">
        <v>764</v>
      </c>
      <c r="C759" s="2" t="str">
        <f ca="1">IFERROR(__xludf.DUMMYFUNCTION("GOOGLETRANSLATE(B759, ""bn"", ""en"")"),"A person who is firm in his religion and does righteous deeds in the Hereafter, his good deeds will shine, and he will enjoy peace in this world and the Hereafter.")</f>
        <v>A person who is firm in his religion and does righteous deeds in the Hereafter, his good deeds will shine, and he will enjoy peace in this world and the Hereafter.</v>
      </c>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6" x14ac:dyDescent="0.3">
      <c r="A760" s="18" t="s">
        <v>8</v>
      </c>
      <c r="B760" s="25" t="s">
        <v>765</v>
      </c>
      <c r="C760" s="2" t="str">
        <f ca="1">IFERROR(__xludf.DUMMYFUNCTION("GOOGLETRANSLATE(B760, ""bn"", ""en"")"),"The attacks are also on the majority Muslim community. A group is doing it for their cause or opinion.")</f>
        <v>The attacks are also on the majority Muslim community. A group is doing it for their cause or opinion.</v>
      </c>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6" x14ac:dyDescent="0.3">
      <c r="A761" s="19" t="s">
        <v>23</v>
      </c>
      <c r="B761" s="26" t="s">
        <v>766</v>
      </c>
      <c r="C761" s="2" t="str">
        <f ca="1">IFERROR(__xludf.DUMMYFUNCTION("GOOGLETRANSLATE(B761, ""bn"", ""en"")"),"Children in rural Rakhine have been absent from school for two weeks after an Islam teacher at a Patuakhali school was accused of insulting Buddhism.")</f>
        <v>Children in rural Rakhine have been absent from school for two weeks after an Islam teacher at a Patuakhali school was accused of insulting Buddhism.</v>
      </c>
      <c r="D761" s="7"/>
      <c r="E761" s="7"/>
      <c r="F761" s="7"/>
      <c r="G761" s="7"/>
      <c r="H761" s="7"/>
      <c r="I761" s="7"/>
      <c r="J761" s="7"/>
      <c r="K761" s="7"/>
      <c r="L761" s="5"/>
      <c r="M761" s="5"/>
      <c r="N761" s="5"/>
      <c r="O761" s="5"/>
      <c r="P761" s="5"/>
      <c r="Q761" s="5"/>
      <c r="R761" s="5"/>
      <c r="S761" s="5"/>
      <c r="T761" s="5"/>
      <c r="U761" s="5"/>
      <c r="V761" s="5"/>
      <c r="W761" s="5"/>
      <c r="X761" s="5"/>
      <c r="Y761" s="5"/>
      <c r="Z761" s="5"/>
    </row>
    <row r="762" spans="1:26" ht="15.6" x14ac:dyDescent="0.3">
      <c r="A762" s="18" t="s">
        <v>3</v>
      </c>
      <c r="B762" s="24" t="s">
        <v>767</v>
      </c>
      <c r="C762" s="2" t="str">
        <f ca="1">IFERROR(__xludf.DUMMYFUNCTION("GOOGLETRANSLATE(B762, ""bn"", ""en"")"),"I think places of worship like temples, mosques, churches, should be seen as symbols of peace.")</f>
        <v>I think places of worship like temples, mosques, churches, should be seen as symbols of peace.</v>
      </c>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6" x14ac:dyDescent="0.3">
      <c r="A763" s="18" t="s">
        <v>5</v>
      </c>
      <c r="B763" s="24" t="s">
        <v>768</v>
      </c>
      <c r="C763" s="2" t="str">
        <f ca="1">IFERROR(__xludf.DUMMYFUNCTION("GOOGLETRANSLATE(B763, ""bn"", ""en"")"),"In December 2017, the only child of a Hindu family was expelled from school due to religious pressure; He later committed suicide; Another 10 people were killed in the protest.")</f>
        <v>In December 2017, the only child of a Hindu family was expelled from school due to religious pressure; He later committed suicide; Another 10 people were killed in the protest.</v>
      </c>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6" x14ac:dyDescent="0.3">
      <c r="A764" s="18" t="s">
        <v>23</v>
      </c>
      <c r="B764" s="25" t="s">
        <v>769</v>
      </c>
      <c r="C764" s="2" t="str">
        <f ca="1">IFERROR(__xludf.DUMMYFUNCTION("GOOGLETRANSLATE(B764, ""bn"", ""en"")"),"I see many people who post a lot about religion, but they are involved in a lot of usury, bribery and haram business.")</f>
        <v>I see many people who post a lot about religion, but they are involved in a lot of usury, bribery and haram business.</v>
      </c>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6" x14ac:dyDescent="0.3">
      <c r="A765" s="18" t="s">
        <v>8</v>
      </c>
      <c r="B765" s="25" t="s">
        <v>770</v>
      </c>
      <c r="C765" s="2" t="str">
        <f ca="1">IFERROR(__xludf.DUMMYFUNCTION("GOOGLETRANSLATE(B765, ""bn"", ""en"")"),"All the Hindus of a village called Teghari migrate to another place to save their lives. But they did not get relief even on the journey. All the goods with them were looted by Ansar forces and Muslims.")</f>
        <v>All the Hindus of a village called Teghari migrate to another place to save their lives. But they did not get relief even on the journey. All the goods with them were looted by Ansar forces and Muslims.</v>
      </c>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6" x14ac:dyDescent="0.3">
      <c r="A766" s="19" t="s">
        <v>5</v>
      </c>
      <c r="B766" s="26" t="s">
        <v>771</v>
      </c>
      <c r="C766" s="2" t="str">
        <f ca="1">IFERROR(__xludf.DUMMYFUNCTION("GOOGLETRANSLATE(B766, ""bn"", ""en"")"),"The practice of sati acquired the additional meaning that men were killed as a means of protecting women's honor,[15] similar to the practice of Jawhar,[52][53] the ideologies of Jawhar and Sati reinforce each other.")</f>
        <v>The practice of sati acquired the additional meaning that men were killed as a means of protecting women's honor,[15] similar to the practice of Jawhar,[52][53] the ideologies of Jawhar and Sati reinforce each other.</v>
      </c>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6" x14ac:dyDescent="0.3">
      <c r="A767" s="18" t="s">
        <v>3</v>
      </c>
      <c r="B767" s="25" t="s">
        <v>772</v>
      </c>
      <c r="C767" s="2" t="str">
        <f ca="1">IFERROR(__xludf.DUMMYFUNCTION("GOOGLETRANSLATE(B767, ""bn"", ""en"")"),"We Muslims perform ablution and enter the mosque in a holy manner. Due to the Sunnah rules of ablution, I don't think praying in mosques is dangerous for corona.")</f>
        <v>We Muslims perform ablution and enter the mosque in a holy manner. Due to the Sunnah rules of ablution, I don't think praying in mosques is dangerous for corona.</v>
      </c>
      <c r="D767" s="2"/>
      <c r="E767" s="2"/>
      <c r="F767" s="2"/>
      <c r="G767" s="2"/>
      <c r="H767" s="3"/>
      <c r="I767" s="3"/>
      <c r="J767" s="3"/>
      <c r="K767" s="3"/>
      <c r="L767" s="3"/>
      <c r="M767" s="3"/>
      <c r="N767" s="3"/>
      <c r="O767" s="3"/>
      <c r="P767" s="3"/>
      <c r="Q767" s="3"/>
      <c r="R767" s="3"/>
      <c r="S767" s="3"/>
      <c r="T767" s="3"/>
      <c r="U767" s="3"/>
      <c r="V767" s="3"/>
      <c r="W767" s="3"/>
      <c r="X767" s="3"/>
      <c r="Y767" s="3"/>
      <c r="Z767" s="3"/>
    </row>
    <row r="768" spans="1:26" ht="15.6" x14ac:dyDescent="0.3">
      <c r="A768" s="18" t="s">
        <v>3</v>
      </c>
      <c r="B768" s="24" t="s">
        <v>773</v>
      </c>
      <c r="C768" s="2" t="str">
        <f ca="1">IFERROR(__xludf.DUMMYFUNCTION("GOOGLETRANSLATE(B768, ""bn"", ""en"")"),"Islam will remain, victory is assured; Quran is eternal truth.")</f>
        <v>Islam will remain, victory is assured; Quran is eternal truth.</v>
      </c>
      <c r="D768" s="2"/>
      <c r="E768" s="2"/>
      <c r="F768" s="2"/>
      <c r="G768" s="2"/>
      <c r="H768" s="5"/>
      <c r="I768" s="5"/>
      <c r="J768" s="5"/>
      <c r="K768" s="5"/>
      <c r="L768" s="5"/>
      <c r="M768" s="5"/>
      <c r="N768" s="5"/>
      <c r="O768" s="5"/>
      <c r="P768" s="5"/>
      <c r="Q768" s="5"/>
      <c r="R768" s="5"/>
      <c r="S768" s="5"/>
      <c r="T768" s="5"/>
      <c r="U768" s="5"/>
      <c r="V768" s="5"/>
      <c r="W768" s="5"/>
      <c r="X768" s="5"/>
      <c r="Y768" s="5"/>
      <c r="Z768" s="5"/>
    </row>
    <row r="769" spans="1:26" ht="15.6" x14ac:dyDescent="0.3">
      <c r="A769" s="18" t="s">
        <v>23</v>
      </c>
      <c r="B769" s="25" t="s">
        <v>774</v>
      </c>
      <c r="C769" s="2" t="str">
        <f ca="1">IFERROR(__xludf.DUMMYFUNCTION("GOOGLETRANSLATE(B769, ""bn"", ""en"")"),"Just because we are becoming modern does not mean that we will forget religion. Is there no fear of death when the country is facing this terrible corona? Even being Muslims, many are responding like atheists.")</f>
        <v>Just because we are becoming modern does not mean that we will forget religion. Is there no fear of death when the country is facing this terrible corona? Even being Muslims, many are responding like atheists.</v>
      </c>
      <c r="D769" s="2"/>
      <c r="E769" s="2"/>
      <c r="F769" s="2"/>
      <c r="G769" s="2"/>
      <c r="H769" s="3"/>
      <c r="I769" s="3"/>
      <c r="J769" s="3"/>
      <c r="K769" s="3"/>
      <c r="L769" s="3"/>
      <c r="M769" s="3"/>
      <c r="N769" s="3"/>
      <c r="O769" s="3"/>
      <c r="P769" s="3"/>
      <c r="Q769" s="3"/>
      <c r="R769" s="3"/>
      <c r="S769" s="3"/>
      <c r="T769" s="3"/>
      <c r="U769" s="3"/>
      <c r="V769" s="3"/>
      <c r="W769" s="3"/>
      <c r="X769" s="3"/>
      <c r="Y769" s="3"/>
      <c r="Z769" s="3"/>
    </row>
    <row r="770" spans="1:26" ht="15.6" x14ac:dyDescent="0.3">
      <c r="A770" s="19" t="s">
        <v>8</v>
      </c>
      <c r="B770" s="26" t="s">
        <v>775</v>
      </c>
      <c r="C770" s="2" t="str">
        <f ca="1">IFERROR(__xludf.DUMMYFUNCTION("GOOGLETRANSLATE(B770, ""bn"", ""en"")"),"There were about 50 cows in the cowshed of the temple and ashram. They were burned. Ramana area turned into an inferno with heavy fire, gunshots, smell of burning flesh and cries of loss of life.")</f>
        <v>There were about 50 cows in the cowshed of the temple and ashram. They were burned. Ramana area turned into an inferno with heavy fire, gunshots, smell of burning flesh and cries of loss of life.</v>
      </c>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6" x14ac:dyDescent="0.3">
      <c r="A771" s="18" t="s">
        <v>8</v>
      </c>
      <c r="B771" s="25" t="s">
        <v>776</v>
      </c>
      <c r="C771" s="2" t="str">
        <f ca="1">IFERROR(__xludf.DUMMYFUNCTION("GOOGLETRANSLATE(B771, ""bn"", ""en"")"),"On March 17, 2021, 91 Hindu houses were attacked and looted in Noagaon of Shalla Upazila of Sunamganj. An alleged Facebook post by a youth named Jhumon Das against Hefazat leader Mamunul Haque was used as an excuse for insulting religion. And the proof th"&amp;"at Jhumon Das gave that post has not been found yet")</f>
        <v>On March 17, 2021, 91 Hindu houses were attacked and looted in Noagaon of Shalla Upazila of Sunamganj. An alleged Facebook post by a youth named Jhumon Das against Hefazat leader Mamunul Haque was used as an excuse for insulting religion. And the proof that Jhumon Das gave that post has not been found yet</v>
      </c>
      <c r="D771" s="2"/>
      <c r="E771" s="2"/>
      <c r="F771" s="2"/>
      <c r="G771" s="2"/>
      <c r="H771" s="3"/>
      <c r="I771" s="3"/>
      <c r="J771" s="3"/>
      <c r="K771" s="3"/>
      <c r="L771" s="3"/>
      <c r="M771" s="3"/>
      <c r="N771" s="3"/>
      <c r="O771" s="3"/>
      <c r="P771" s="3"/>
      <c r="Q771" s="3"/>
      <c r="R771" s="3"/>
      <c r="S771" s="3"/>
      <c r="T771" s="3"/>
      <c r="U771" s="3"/>
      <c r="V771" s="3"/>
      <c r="W771" s="3"/>
      <c r="X771" s="3"/>
      <c r="Y771" s="3"/>
      <c r="Z771" s="3"/>
    </row>
    <row r="772" spans="1:26" ht="15.6" x14ac:dyDescent="0.3">
      <c r="A772" s="18" t="s">
        <v>8</v>
      </c>
      <c r="B772" s="25" t="s">
        <v>777</v>
      </c>
      <c r="C772" s="2" t="str">
        <f ca="1">IFERROR(__xludf.DUMMYFUNCTION("GOOGLETRANSLATE(B772, ""bn"", ""en"")"),"A few Muslims were injured in clashes during protests against plans to build mosques for Muslim immigrants.")</f>
        <v>A few Muslims were injured in clashes during protests against plans to build mosques for Muslim immigrants.</v>
      </c>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6" x14ac:dyDescent="0.3">
      <c r="A773" s="19" t="s">
        <v>3</v>
      </c>
      <c r="B773" s="26" t="s">
        <v>778</v>
      </c>
      <c r="C773" s="2" t="str">
        <f ca="1">IFERROR(__xludf.DUMMYFUNCTION("GOOGLETRANSLATE(B773, ""bn"", ""en"")"),"A priest offers wine and bread, symbolizing the blood and body of Jesus.")</f>
        <v>A priest offers wine and bread, symbolizing the blood and body of Jesus.</v>
      </c>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6" x14ac:dyDescent="0.3">
      <c r="A774" s="18" t="s">
        <v>3</v>
      </c>
      <c r="B774" s="25" t="s">
        <v>779</v>
      </c>
      <c r="C774" s="2" t="str">
        <f ca="1">IFERROR(__xludf.DUMMYFUNCTION("GOOGLETRANSLATE(B774, ""bn"", ""en"")"),"It is natural that those who believe in Islamic teachings and lead their lives in that light, will never commit suicide to ensure their afterlife in hell.")</f>
        <v>It is natural that those who believe in Islamic teachings and lead their lives in that light, will never commit suicide to ensure their afterlife in hell.</v>
      </c>
      <c r="D774" s="2"/>
      <c r="E774" s="2"/>
      <c r="F774" s="2"/>
      <c r="G774" s="2"/>
      <c r="H774" s="3"/>
      <c r="I774" s="3"/>
      <c r="J774" s="3"/>
      <c r="K774" s="3"/>
      <c r="L774" s="3"/>
      <c r="M774" s="3"/>
      <c r="N774" s="3"/>
      <c r="O774" s="3"/>
      <c r="P774" s="3"/>
      <c r="Q774" s="3"/>
      <c r="R774" s="3"/>
      <c r="S774" s="3"/>
      <c r="T774" s="3"/>
      <c r="U774" s="3"/>
      <c r="V774" s="3"/>
      <c r="W774" s="3"/>
      <c r="X774" s="3"/>
      <c r="Y774" s="3"/>
      <c r="Z774" s="3"/>
    </row>
    <row r="775" spans="1:26" ht="15.6" x14ac:dyDescent="0.3">
      <c r="A775" s="19" t="s">
        <v>3</v>
      </c>
      <c r="B775" s="26" t="s">
        <v>780</v>
      </c>
      <c r="C775" s="2" t="str">
        <f ca="1">IFERROR(__xludf.DUMMYFUNCTION("GOOGLETRANSLATE(B775, ""bn"", ""en"")"),"Everyone worships his personal faith and freedom; Everyone should respect each other's beliefs and maintain harmony.")</f>
        <v>Everyone worships his personal faith and freedom; Everyone should respect each other's beliefs and maintain harmony.</v>
      </c>
      <c r="D775" s="7"/>
      <c r="E775" s="7"/>
      <c r="F775" s="7"/>
      <c r="G775" s="7"/>
      <c r="H775" s="7"/>
      <c r="I775" s="5"/>
      <c r="J775" s="5"/>
      <c r="K775" s="5"/>
      <c r="L775" s="5"/>
      <c r="M775" s="5"/>
      <c r="N775" s="5"/>
      <c r="O775" s="5"/>
      <c r="P775" s="5"/>
      <c r="Q775" s="5"/>
      <c r="R775" s="5"/>
      <c r="S775" s="5"/>
      <c r="T775" s="5"/>
      <c r="U775" s="5"/>
      <c r="V775" s="5"/>
      <c r="W775" s="5"/>
      <c r="X775" s="5"/>
      <c r="Y775" s="5"/>
      <c r="Z775" s="5"/>
    </row>
    <row r="776" spans="1:26" ht="15.6" x14ac:dyDescent="0.3">
      <c r="A776" s="18" t="s">
        <v>5</v>
      </c>
      <c r="B776" s="26" t="s">
        <v>781</v>
      </c>
      <c r="C776" s="2" t="str">
        <f ca="1">IFERROR(__xludf.DUMMYFUNCTION("GOOGLETRANSLATE(B776, ""bn"", ""en"")"),"Widespread violence broke out after religious leader Laxmanananda Saraswati was brutally killed in the night. Hindu temples were set on fire and the area was terrorized by the murders.")</f>
        <v>Widespread violence broke out after religious leader Laxmanananda Saraswati was brutally killed in the night. Hindu temples were set on fire and the area was terrorized by the murders.</v>
      </c>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6" x14ac:dyDescent="0.3">
      <c r="A777" s="18" t="s">
        <v>23</v>
      </c>
      <c r="B777" s="25" t="s">
        <v>782</v>
      </c>
      <c r="C777" s="2" t="str">
        <f ca="1">IFERROR(__xludf.DUMMYFUNCTION("GOOGLETRANSLATE(B777, ""bn"", ""en"")"),"In a country where there is no hero to defend Islam, a coward deserves to die.")</f>
        <v>In a country where there is no hero to defend Islam, a coward deserves to die.</v>
      </c>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6" x14ac:dyDescent="0.3">
      <c r="A778" s="18" t="s">
        <v>5</v>
      </c>
      <c r="B778" s="25" t="s">
        <v>783</v>
      </c>
      <c r="C778" s="2" t="str">
        <f ca="1">IFERROR(__xludf.DUMMYFUNCTION("GOOGLETRANSLATE(B778, ""bn"", ""en"")"),"Many writers and journalists were threatened and attacked for speaking out against religious intolerance, including M. M. Kalburgi and Gauri Lankesh murders are notable.")</f>
        <v>Many writers and journalists were threatened and attacked for speaking out against religious intolerance, including M. M. Kalburgi and Gauri Lankesh murders are notable.</v>
      </c>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6" x14ac:dyDescent="0.3">
      <c r="A779" s="19" t="s">
        <v>3</v>
      </c>
      <c r="B779" s="26" t="s">
        <v>784</v>
      </c>
      <c r="C779" s="2" t="str">
        <f ca="1">IFERROR(__xludf.DUMMYFUNCTION("GOOGLETRANSLATE(B779, ""bn"", ""en"")"),"We are not talking about not going to pray publicly, but we also want corona awareness. So taking strategic measures.")</f>
        <v>We are not talking about not going to pray publicly, but we also want corona awareness. So taking strategic measures.</v>
      </c>
      <c r="D779" s="7"/>
      <c r="E779" s="7"/>
      <c r="F779" s="7"/>
      <c r="G779" s="7"/>
      <c r="H779" s="5"/>
      <c r="I779" s="5"/>
      <c r="J779" s="5"/>
      <c r="K779" s="5"/>
      <c r="L779" s="5"/>
      <c r="M779" s="5"/>
      <c r="N779" s="5"/>
      <c r="O779" s="5"/>
      <c r="P779" s="5"/>
      <c r="Q779" s="5"/>
      <c r="R779" s="5"/>
      <c r="S779" s="5"/>
      <c r="T779" s="5"/>
      <c r="U779" s="5"/>
      <c r="V779" s="5"/>
      <c r="W779" s="5"/>
      <c r="X779" s="5"/>
      <c r="Y779" s="5"/>
      <c r="Z779" s="5"/>
    </row>
    <row r="780" spans="1:26" ht="15.6" x14ac:dyDescent="0.3">
      <c r="A780" s="19" t="s">
        <v>3</v>
      </c>
      <c r="B780" s="26" t="s">
        <v>785</v>
      </c>
      <c r="C780" s="2" t="str">
        <f ca="1">IFERROR(__xludf.DUMMYFUNCTION("GOOGLETRANSLATE(B780, ""bn"", ""en"")"),"Some aspects of Hinduism changed in the environment of Trinidad to form ""Trinidad Hinduism"". However, most Christians take issue with some aspects of Hindu culture.")</f>
        <v>Some aspects of Hinduism changed in the environment of Trinidad to form "Trinidad Hinduism". However, most Christians take issue with some aspects of Hindu culture.</v>
      </c>
      <c r="D780" s="7"/>
      <c r="E780" s="7"/>
      <c r="F780" s="7"/>
      <c r="G780" s="7"/>
      <c r="H780" s="7"/>
      <c r="I780" s="7"/>
      <c r="J780" s="7"/>
      <c r="K780" s="7"/>
      <c r="L780" s="5"/>
      <c r="M780" s="5"/>
      <c r="N780" s="5"/>
      <c r="O780" s="5"/>
      <c r="P780" s="5"/>
      <c r="Q780" s="5"/>
      <c r="R780" s="5"/>
      <c r="S780" s="5"/>
      <c r="T780" s="5"/>
      <c r="U780" s="5"/>
      <c r="V780" s="5"/>
      <c r="W780" s="5"/>
      <c r="X780" s="5"/>
      <c r="Y780" s="5"/>
      <c r="Z780" s="5"/>
    </row>
    <row r="781" spans="1:26" ht="15.6" x14ac:dyDescent="0.3">
      <c r="A781" s="18" t="s">
        <v>5</v>
      </c>
      <c r="B781" s="25" t="s">
        <v>786</v>
      </c>
      <c r="C781" s="2" t="str">
        <f ca="1">IFERROR(__xludf.DUMMYFUNCTION("GOOGLETRANSLATE(B781, ""bn"", ""en"")"),"The riots refer to the 1950s massacre of the Hindu community in Bangladesh by the majority Muslim community.")</f>
        <v>The riots refer to the 1950s massacre of the Hindu community in Bangladesh by the majority Muslim community.</v>
      </c>
      <c r="D781" s="2"/>
      <c r="E781" s="2"/>
      <c r="F781" s="2"/>
      <c r="G781" s="2"/>
      <c r="H781" s="5"/>
      <c r="I781" s="5"/>
      <c r="J781" s="5"/>
      <c r="K781" s="5"/>
      <c r="L781" s="5"/>
      <c r="M781" s="5"/>
      <c r="N781" s="5"/>
      <c r="O781" s="5"/>
      <c r="P781" s="5"/>
      <c r="Q781" s="5"/>
      <c r="R781" s="5"/>
      <c r="S781" s="5"/>
      <c r="T781" s="5"/>
      <c r="U781" s="5"/>
      <c r="V781" s="5"/>
      <c r="W781" s="5"/>
      <c r="X781" s="5"/>
      <c r="Y781" s="5"/>
      <c r="Z781" s="5"/>
    </row>
    <row r="782" spans="1:26" ht="15.6" x14ac:dyDescent="0.3">
      <c r="A782" s="18" t="s">
        <v>3</v>
      </c>
      <c r="B782" s="25" t="s">
        <v>787</v>
      </c>
      <c r="C782" s="2" t="str">
        <f ca="1">IFERROR(__xludf.DUMMYFUNCTION("GOOGLETRANSLATE(B782, ""bn"", ""en"")"),"By following Allah's guidance, our lives are standardized and we are on the right path, which increases our confidence and happiness.")</f>
        <v>By following Allah's guidance, our lives are standardized and we are on the right path, which increases our confidence and happiness.</v>
      </c>
      <c r="D782" s="2"/>
      <c r="E782" s="2"/>
      <c r="F782" s="2"/>
      <c r="G782" s="2"/>
      <c r="H782" s="3"/>
      <c r="I782" s="3"/>
      <c r="J782" s="3"/>
      <c r="K782" s="3"/>
      <c r="L782" s="3"/>
      <c r="M782" s="3"/>
      <c r="N782" s="3"/>
      <c r="O782" s="3"/>
      <c r="P782" s="3"/>
      <c r="Q782" s="3"/>
      <c r="R782" s="3"/>
      <c r="S782" s="3"/>
      <c r="T782" s="3"/>
      <c r="U782" s="3"/>
      <c r="V782" s="3"/>
      <c r="W782" s="3"/>
      <c r="X782" s="3"/>
      <c r="Y782" s="3"/>
      <c r="Z782" s="3"/>
    </row>
    <row r="783" spans="1:26" ht="15.6" x14ac:dyDescent="0.3">
      <c r="A783" s="19" t="s">
        <v>3</v>
      </c>
      <c r="B783" s="26" t="s">
        <v>788</v>
      </c>
      <c r="C783" s="2" t="str">
        <f ca="1">IFERROR(__xludf.DUMMYFUNCTION("GOOGLETRANSLATE(B783, ""bn"", ""en"")"),"Liberation from suicide is possible with the combination of religious education and human values")</f>
        <v>Liberation from suicide is possible with the combination of religious education and human values</v>
      </c>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6" x14ac:dyDescent="0.3">
      <c r="A784" s="18" t="s">
        <v>5</v>
      </c>
      <c r="B784" s="24" t="s">
        <v>789</v>
      </c>
      <c r="C784" s="2" t="str">
        <f ca="1">IFERROR(__xludf.DUMMYFUNCTION("GOOGLETRANSLATE(B784, ""bn"", ""en"")"),"45 people lost their lives in clashes due to religious tension in Jhalkathi. Police quickly cordoned off the area, while the government issued a message of calm and tolerance. The affected minority families left the village for safety.")</f>
        <v>45 people lost their lives in clashes due to religious tension in Jhalkathi. Police quickly cordoned off the area, while the government issued a message of calm and tolerance. The affected minority families left the village for safety.</v>
      </c>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6" x14ac:dyDescent="0.3">
      <c r="A785" s="18" t="s">
        <v>23</v>
      </c>
      <c r="B785" s="25" t="s">
        <v>790</v>
      </c>
      <c r="C785" s="2" t="str">
        <f ca="1">IFERROR(__xludf.DUMMYFUNCTION("GOOGLETRANSLATE(B785, ""bn"", ""en"")"),"Despite respecting all scriptures, some anti-Islamists have insulted Muslims by burning the Quran. May these evildoers be destroyed!")</f>
        <v>Despite respecting all scriptures, some anti-Islamists have insulted Muslims by burning the Quran. May these evildoers be destroyed!</v>
      </c>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6" x14ac:dyDescent="0.3">
      <c r="A786" s="18" t="s">
        <v>5</v>
      </c>
      <c r="B786" s="24" t="s">
        <v>791</v>
      </c>
      <c r="C786" s="2" t="str">
        <f ca="1">IFERROR(__xludf.DUMMYFUNCTION("GOOGLETRANSLATE(B786, ""bn"", ""en"")"),"A group attacked a minority wedding, killing 20 people.")</f>
        <v>A group attacked a minority wedding, killing 20 people.</v>
      </c>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6" x14ac:dyDescent="0.3">
      <c r="A787" s="18" t="s">
        <v>5</v>
      </c>
      <c r="B787" s="25" t="s">
        <v>792</v>
      </c>
      <c r="C787" s="2" t="str">
        <f ca="1">IFERROR(__xludf.DUMMYFUNCTION("GOOGLETRANSLATE(B787, ""bn"", ""en"")"),"Many dead bodies were found in Barakah, Islami and Siddhirganj Hospitals during the religious riots but the government did not admit it.")</f>
        <v>Many dead bodies were found in Barakah, Islami and Siddhirganj Hospitals during the religious riots but the government did not admit it.</v>
      </c>
      <c r="D787" s="2"/>
      <c r="E787" s="2"/>
      <c r="F787" s="2"/>
      <c r="G787" s="2"/>
      <c r="H787" s="5"/>
      <c r="I787" s="5"/>
      <c r="J787" s="5"/>
      <c r="K787" s="5"/>
      <c r="L787" s="5"/>
      <c r="M787" s="5"/>
      <c r="N787" s="5"/>
      <c r="O787" s="5"/>
      <c r="P787" s="5"/>
      <c r="Q787" s="5"/>
      <c r="R787" s="5"/>
      <c r="S787" s="5"/>
      <c r="T787" s="5"/>
      <c r="U787" s="5"/>
      <c r="V787" s="5"/>
      <c r="W787" s="5"/>
      <c r="X787" s="5"/>
      <c r="Y787" s="5"/>
      <c r="Z787" s="5"/>
    </row>
    <row r="788" spans="1:26" ht="15.6" x14ac:dyDescent="0.3">
      <c r="A788" s="18" t="s">
        <v>23</v>
      </c>
      <c r="B788" s="24" t="s">
        <v>793</v>
      </c>
      <c r="C788" s="2" t="str">
        <f ca="1">IFERROR(__xludf.DUMMYFUNCTION("GOOGLETRANSLATE(B788, ""bn"", ""en"")"),"Some sections of the Hindu community are spreading religious extremism and creating communal tension in the society.")</f>
        <v>Some sections of the Hindu community are spreading religious extremism and creating communal tension in the society.</v>
      </c>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6" x14ac:dyDescent="0.3">
      <c r="A789" s="18" t="s">
        <v>23</v>
      </c>
      <c r="B789" s="25" t="s">
        <v>794</v>
      </c>
      <c r="C789" s="2" t="str">
        <f ca="1">IFERROR(__xludf.DUMMYFUNCTION("GOOGLETRANSLATE(B789, ""bn"", ""en"")"),"It is our duty as Muslims to protect and protect the fundamental rights of non-Muslims, and not to intimidate them.")</f>
        <v>It is our duty as Muslims to protect and protect the fundamental rights of non-Muslims, and not to intimidate them.</v>
      </c>
      <c r="D789" s="2"/>
      <c r="E789" s="2"/>
      <c r="F789" s="2"/>
      <c r="G789" s="2"/>
      <c r="H789" s="3"/>
      <c r="I789" s="3"/>
      <c r="J789" s="3"/>
      <c r="K789" s="3"/>
      <c r="L789" s="3"/>
      <c r="M789" s="3"/>
      <c r="N789" s="3"/>
      <c r="O789" s="3"/>
      <c r="P789" s="3"/>
      <c r="Q789" s="3"/>
      <c r="R789" s="3"/>
      <c r="S789" s="3"/>
      <c r="T789" s="3"/>
      <c r="U789" s="3"/>
      <c r="V789" s="3"/>
      <c r="W789" s="3"/>
      <c r="X789" s="3"/>
      <c r="Y789" s="3"/>
      <c r="Z789" s="3"/>
    </row>
    <row r="790" spans="1:26" ht="15.6" x14ac:dyDescent="0.3">
      <c r="A790" s="18" t="s">
        <v>3</v>
      </c>
      <c r="B790" s="25" t="s">
        <v>795</v>
      </c>
      <c r="C790" s="2" t="str">
        <f ca="1">IFERROR(__xludf.DUMMYFUNCTION("GOOGLETRANSLATE(B790, ""bn"", ""en"")"),"Bhaijan will behave well with patience. It can be understood that Allah Ta'ala will guide them someday")</f>
        <v>Bhaijan will behave well with patience. It can be understood that Allah Ta'ala will guide them someday</v>
      </c>
      <c r="D790" s="2"/>
      <c r="E790" s="2"/>
      <c r="F790" s="2"/>
      <c r="G790" s="2"/>
      <c r="H790" s="3"/>
      <c r="I790" s="3"/>
      <c r="J790" s="3"/>
      <c r="K790" s="3"/>
      <c r="L790" s="3"/>
      <c r="M790" s="3"/>
      <c r="N790" s="3"/>
      <c r="O790" s="3"/>
      <c r="P790" s="3"/>
      <c r="Q790" s="3"/>
      <c r="R790" s="3"/>
      <c r="S790" s="3"/>
      <c r="T790" s="3"/>
      <c r="U790" s="3"/>
      <c r="V790" s="3"/>
      <c r="W790" s="3"/>
      <c r="X790" s="3"/>
      <c r="Y790" s="3"/>
      <c r="Z790" s="3"/>
    </row>
    <row r="791" spans="1:26" ht="15.6" x14ac:dyDescent="0.3">
      <c r="A791" s="18" t="s">
        <v>5</v>
      </c>
      <c r="B791" s="24" t="s">
        <v>796</v>
      </c>
      <c r="C791" s="2" t="str">
        <f ca="1">IFERROR(__xludf.DUMMYFUNCTION("GOOGLETRANSLATE(B791, ""bn"", ""en"")"),"42 people were killed in a clash between religious groups in an area of ​​Dhaka district; Many people are homeless.")</f>
        <v>42 people were killed in a clash between religious groups in an area of ​​Dhaka district; Many people are homeless.</v>
      </c>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6" x14ac:dyDescent="0.3">
      <c r="A792" s="18" t="s">
        <v>8</v>
      </c>
      <c r="B792" s="25" t="s">
        <v>797</v>
      </c>
      <c r="C792" s="2" t="str">
        <f ca="1">IFERROR(__xludf.DUMMYFUNCTION("GOOGLETRANSLATE(B792, ""bn"", ""en"")"),"On Wednesday morning, thousands of Muslim extremists attacked Hindu houses with sticks, demolished 87 houses and looted money and gold ornaments, wreaking havoc in the name of religion.")</f>
        <v>On Wednesday morning, thousands of Muslim extremists attacked Hindu houses with sticks, demolished 87 houses and looted money and gold ornaments, wreaking havoc in the name of religion.</v>
      </c>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6" x14ac:dyDescent="0.3">
      <c r="A793" s="18" t="s">
        <v>5</v>
      </c>
      <c r="B793" s="25" t="s">
        <v>798</v>
      </c>
      <c r="C793" s="2" t="str">
        <f ca="1">IFERROR(__xludf.DUMMYFUNCTION("GOOGLETRANSLATE(B793, ""bn"", ""en"")"),"In Pachari in 1986 and Langudu in 1989, 40 tribals were killed in brutal sectarian attacks and 13,000 people were forced to flee the country for their lives.")</f>
        <v>In Pachari in 1986 and Langudu in 1989, 40 tribals were killed in brutal sectarian attacks and 13,000 people were forced to flee the country for their lives.</v>
      </c>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6" x14ac:dyDescent="0.3">
      <c r="A794" s="18" t="s">
        <v>5</v>
      </c>
      <c r="B794" s="25" t="s">
        <v>799</v>
      </c>
      <c r="C794" s="2" t="str">
        <f ca="1">IFERROR(__xludf.DUMMYFUNCTION("GOOGLETRANSLATE(B794, ""bn"", ""en"")"),"Six people were killed in an explosion outside a mosque in Maharashtra's Malegaon town, which an investigation revealed was carried out by members of a Hindutva outfit.")</f>
        <v>Six people were killed in an explosion outside a mosque in Maharashtra's Malegaon town, which an investigation revealed was carried out by members of a Hindutva outfit.</v>
      </c>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6" x14ac:dyDescent="0.3">
      <c r="A795" s="18" t="s">
        <v>5</v>
      </c>
      <c r="B795" s="25" t="s">
        <v>800</v>
      </c>
      <c r="C795" s="2" t="str">
        <f ca="1">IFERROR(__xludf.DUMMYFUNCTION("GOOGLETRANSLATE(B795, ""bn"", ""en"")"),"A mosque belonging to the Ahmadiyya Muslim community was bombed, killing one person and injuring many others.")</f>
        <v>A mosque belonging to the Ahmadiyya Muslim community was bombed, killing one person and injuring many others.</v>
      </c>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6" x14ac:dyDescent="0.3">
      <c r="A796" s="18" t="s">
        <v>5</v>
      </c>
      <c r="B796" s="24" t="s">
        <v>801</v>
      </c>
      <c r="C796" s="2" t="str">
        <f ca="1">IFERROR(__xludf.DUMMYFUNCTION("GOOGLETRANSLATE(B796, ""bn"", ""en"")"),"In August 2017, 25 people, including a child, were killed in a sectarian conflict.")</f>
        <v>In August 2017, 25 people, including a child, were killed in a sectarian conflict.</v>
      </c>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6" x14ac:dyDescent="0.3">
      <c r="A797" s="18" t="s">
        <v>23</v>
      </c>
      <c r="B797" s="24" t="s">
        <v>802</v>
      </c>
      <c r="C797" s="2" t="str">
        <f ca="1">IFERROR(__xludf.DUMMYFUNCTION("GOOGLETRANSLATE(B797, ""bn"", ""en"")"),"Some members of the Buddhist community are creating disharmony in the society by making derogatory comments against other religions.")</f>
        <v>Some members of the Buddhist community are creating disharmony in the society by making derogatory comments against other religions.</v>
      </c>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6" x14ac:dyDescent="0.3">
      <c r="A798" s="18" t="s">
        <v>5</v>
      </c>
      <c r="B798" s="24" t="s">
        <v>803</v>
      </c>
      <c r="C798" s="2" t="str">
        <f ca="1">IFERROR(__xludf.DUMMYFUNCTION("GOOGLETRANSLATE(B798, ""bn"", ""en"")"),"In April 2017, a group of youths were beaten to death for distributing religious books; 18 people lost their lives in the violence.")</f>
        <v>In April 2017, a group of youths were beaten to death for distributing religious books; 18 people lost their lives in the violence.</v>
      </c>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6" x14ac:dyDescent="0.3">
      <c r="A799" s="18" t="s">
        <v>8</v>
      </c>
      <c r="B799" s="25" t="s">
        <v>804</v>
      </c>
      <c r="C799" s="2" t="str">
        <f ca="1">IFERROR(__xludf.DUMMYFUNCTION("GOOGLETRANSLATE(B799, ""bn"", ""en"")"),"After seizing power, the Sena rulers from the south started religious persecution of Buddhists, which was clearly an expression of communal spirit.")</f>
        <v>After seizing power, the Sena rulers from the south started religious persecution of Buddhists, which was clearly an expression of communal spirit.</v>
      </c>
      <c r="D799" s="2"/>
      <c r="E799" s="2"/>
      <c r="F799" s="2"/>
      <c r="G799" s="2"/>
      <c r="H799" s="5"/>
      <c r="I799" s="5"/>
      <c r="J799" s="5"/>
      <c r="K799" s="5"/>
      <c r="L799" s="5"/>
      <c r="M799" s="5"/>
      <c r="N799" s="5"/>
      <c r="O799" s="5"/>
      <c r="P799" s="5"/>
      <c r="Q799" s="5"/>
      <c r="R799" s="5"/>
      <c r="S799" s="5"/>
      <c r="T799" s="5"/>
      <c r="U799" s="5"/>
      <c r="V799" s="5"/>
      <c r="W799" s="5"/>
      <c r="X799" s="5"/>
      <c r="Y799" s="5"/>
      <c r="Z799" s="5"/>
    </row>
    <row r="800" spans="1:26" ht="15.6" x14ac:dyDescent="0.3">
      <c r="A800" s="19" t="s">
        <v>5</v>
      </c>
      <c r="B800" s="26" t="s">
        <v>805</v>
      </c>
      <c r="C800" s="2" t="str">
        <f ca="1">IFERROR(__xludf.DUMMYFUNCTION("GOOGLETRANSLATE(B800, ""bn"", ""en"")"),"According to police and court sources, Kotwali police station arrested an accused from Manikchari upazila of Khagrachari in the case of communal violence and murder of Anik Chakma in Rangamati town on 20 September.")</f>
        <v>According to police and court sources, Kotwali police station arrested an accused from Manikchari upazila of Khagrachari in the case of communal violence and murder of Anik Chakma in Rangamati town on 20 September.</v>
      </c>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6" x14ac:dyDescent="0.3">
      <c r="A801" s="18" t="s">
        <v>5</v>
      </c>
      <c r="B801" s="25" t="s">
        <v>806</v>
      </c>
      <c r="C801" s="2" t="str">
        <f ca="1">IFERROR(__xludf.DUMMYFUNCTION("GOOGLETRANSLATE(B801, ""bn"", ""en"")"),"An early fourteenth-century Christian traveler mentions the burning of women at Jhampa or Champa in what is now southern or central Vietnam.[")</f>
        <v>An early fourteenth-century Christian traveler mentions the burning of women at Jhampa or Champa in what is now southern or central Vietnam.[</v>
      </c>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6" x14ac:dyDescent="0.3">
      <c r="A802" s="19" t="s">
        <v>5</v>
      </c>
      <c r="B802" s="26" t="s">
        <v>807</v>
      </c>
      <c r="C802" s="2" t="str">
        <f ca="1">IFERROR(__xludf.DUMMYFUNCTION("GOOGLETRANSLATE(B802, ""bn"", ""en"")"),"Various attacks were carried out as part of the conspiracy, but communal violence, lawlessness, killings and rapes at the shrines created a dire situation.")</f>
        <v>Various attacks were carried out as part of the conspiracy, but communal violence, lawlessness, killings and rapes at the shrines created a dire situation.</v>
      </c>
      <c r="D802" s="7"/>
      <c r="E802" s="7"/>
      <c r="F802" s="7"/>
      <c r="G802" s="7"/>
      <c r="H802" s="7"/>
      <c r="I802" s="7"/>
      <c r="J802" s="5"/>
      <c r="K802" s="5"/>
      <c r="L802" s="5"/>
      <c r="M802" s="5"/>
      <c r="N802" s="5"/>
      <c r="O802" s="5"/>
      <c r="P802" s="5"/>
      <c r="Q802" s="5"/>
      <c r="R802" s="5"/>
      <c r="S802" s="5"/>
      <c r="T802" s="5"/>
      <c r="U802" s="5"/>
      <c r="V802" s="5"/>
      <c r="W802" s="5"/>
      <c r="X802" s="5"/>
      <c r="Y802" s="5"/>
      <c r="Z802" s="5"/>
    </row>
    <row r="803" spans="1:26" ht="15.6" x14ac:dyDescent="0.3">
      <c r="A803" s="18" t="s">
        <v>8</v>
      </c>
      <c r="B803" s="25" t="s">
        <v>808</v>
      </c>
      <c r="C803" s="2" t="str">
        <f ca="1">IFERROR(__xludf.DUMMYFUNCTION("GOOGLETRANSLATE(B803, ""bn"", ""en"")"),"After a verdict in 2013, Hindu temples were vandalized by religious fanaticism, burned to ashes, looted, houses destroyed.")</f>
        <v>After a verdict in 2013, Hindu temples were vandalized by religious fanaticism, burned to ashes, looted, houses destroyed.</v>
      </c>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6" x14ac:dyDescent="0.3">
      <c r="A804" s="18" t="s">
        <v>5</v>
      </c>
      <c r="B804" s="24" t="s">
        <v>809</v>
      </c>
      <c r="C804" s="2" t="str">
        <f ca="1">IFERROR(__xludf.DUMMYFUNCTION("GOOGLETRANSLATE(B804, ""bn"", ""en"")"),"On 13 October 2021, Hindus were attacked, many temples and mandaps were vandalized, and at least 17 people were killed when rumors spread of desecration of the Quran at a Durga Puja mandap in Comilla.")</f>
        <v>On 13 October 2021, Hindus were attacked, many temples and mandaps were vandalized, and at least 17 people were killed when rumors spread of desecration of the Quran at a Durga Puja mandap in Comilla.</v>
      </c>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6" x14ac:dyDescent="0.3">
      <c r="A805" s="19" t="s">
        <v>3</v>
      </c>
      <c r="B805" s="26" t="s">
        <v>810</v>
      </c>
      <c r="C805" s="2" t="str">
        <f ca="1">IFERROR(__xludf.DUMMYFUNCTION("GOOGLETRANSLATE(B805, ""bn"", ""en"")"),"The mosque is being reconstructed on the land of the 75-year-old mosque established in 1949, which is half a kilometer east of the Kantnagar temple and has no Hindu residents.")</f>
        <v>The mosque is being reconstructed on the land of the 75-year-old mosque established in 1949, which is half a kilometer east of the Kantnagar temple and has no Hindu residents.</v>
      </c>
      <c r="D805" s="7"/>
      <c r="E805" s="7"/>
      <c r="F805" s="7"/>
      <c r="G805" s="7"/>
      <c r="H805" s="7"/>
      <c r="I805" s="7"/>
      <c r="J805" s="7"/>
      <c r="K805" s="7"/>
      <c r="L805" s="7"/>
      <c r="M805" s="7"/>
      <c r="N805" s="5"/>
      <c r="O805" s="5"/>
      <c r="P805" s="5"/>
      <c r="Q805" s="5"/>
      <c r="R805" s="5"/>
      <c r="S805" s="5"/>
      <c r="T805" s="5"/>
      <c r="U805" s="5"/>
      <c r="V805" s="5"/>
      <c r="W805" s="5"/>
      <c r="X805" s="5"/>
      <c r="Y805" s="5"/>
      <c r="Z805" s="5"/>
    </row>
    <row r="806" spans="1:26" ht="15.6" x14ac:dyDescent="0.3">
      <c r="A806" s="18" t="s">
        <v>8</v>
      </c>
      <c r="B806" s="24" t="s">
        <v>811</v>
      </c>
      <c r="C806" s="2" t="str">
        <f ca="1">IFERROR(__xludf.DUMMYFUNCTION("GOOGLETRANSLATE(B806, ""bn"", ""en"")"),"The wooden structure of a Radhakrishna temple in Naogaon was set on fire, destroying the interior decoration of the temple.")</f>
        <v>The wooden structure of a Radhakrishna temple in Naogaon was set on fire, destroying the interior decoration of the temple.</v>
      </c>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6" x14ac:dyDescent="0.3">
      <c r="A807" s="18" t="s">
        <v>3</v>
      </c>
      <c r="B807" s="25" t="s">
        <v>812</v>
      </c>
      <c r="C807" s="2" t="str">
        <f ca="1">IFERROR(__xludf.DUMMYFUNCTION("GOOGLETRANSLATE(B807, ""bn"", ""en"")"),"Some of the indigenous communities who practice animism have come under Buddhism. Buddhist Purnima is most celebrated among both Bengali Buddhists and Buddhist tribes.")</f>
        <v>Some of the indigenous communities who practice animism have come under Buddhism. Buddhist Purnima is most celebrated among both Bengali Buddhists and Buddhist tribes.</v>
      </c>
      <c r="D807" s="2"/>
      <c r="E807" s="2"/>
      <c r="F807" s="2"/>
      <c r="G807" s="2"/>
      <c r="H807" s="3"/>
      <c r="I807" s="3"/>
      <c r="J807" s="3"/>
      <c r="K807" s="3"/>
      <c r="L807" s="3"/>
      <c r="M807" s="3"/>
      <c r="N807" s="3"/>
      <c r="O807" s="3"/>
      <c r="P807" s="3"/>
      <c r="Q807" s="3"/>
      <c r="R807" s="3"/>
      <c r="S807" s="3"/>
      <c r="T807" s="3"/>
      <c r="U807" s="3"/>
      <c r="V807" s="3"/>
      <c r="W807" s="3"/>
      <c r="X807" s="3"/>
      <c r="Y807" s="3"/>
      <c r="Z807" s="3"/>
    </row>
    <row r="808" spans="1:26" ht="15.6" x14ac:dyDescent="0.3">
      <c r="A808" s="18" t="s">
        <v>5</v>
      </c>
      <c r="B808" s="24" t="s">
        <v>813</v>
      </c>
      <c r="C808" s="2" t="str">
        <f ca="1">IFERROR(__xludf.DUMMYFUNCTION("GOOGLETRANSLATE(B808, ""bn"", ""en"")"),"In March 2018, a group of religious groups clashed at the school, killing 22 people.")</f>
        <v>In March 2018, a group of religious groups clashed at the school, killing 22 people.</v>
      </c>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6" x14ac:dyDescent="0.3">
      <c r="A809" s="19" t="s">
        <v>3</v>
      </c>
      <c r="B809" s="26" t="s">
        <v>814</v>
      </c>
      <c r="C809" s="2" t="str">
        <f ca="1">IFERROR(__xludf.DUMMYFUNCTION("GOOGLETRANSLATE(B809, ""bn"", ""en"")"),"Although according to Shari'ah, the Janazah of a suicide victim should be recited casually, Rasulullah (S.A.W.) himself never recited the Janazah of a suicide victim; It was taught by the Companions.")</f>
        <v>Although according to Shari'ah, the Janazah of a suicide victim should be recited casually, Rasulullah (S.A.W.) himself never recited the Janazah of a suicide victim; It was taught by the Companions.</v>
      </c>
      <c r="D809" s="7"/>
      <c r="E809" s="7"/>
      <c r="F809" s="7"/>
      <c r="G809" s="7"/>
      <c r="H809" s="7"/>
      <c r="I809" s="7"/>
      <c r="J809" s="7"/>
      <c r="K809" s="7"/>
      <c r="L809" s="7"/>
      <c r="M809" s="7"/>
      <c r="N809" s="5"/>
      <c r="O809" s="5"/>
      <c r="P809" s="5"/>
      <c r="Q809" s="5"/>
      <c r="R809" s="5"/>
      <c r="S809" s="5"/>
      <c r="T809" s="5"/>
      <c r="U809" s="5"/>
      <c r="V809" s="5"/>
      <c r="W809" s="5"/>
      <c r="X809" s="5"/>
      <c r="Y809" s="5"/>
      <c r="Z809" s="5"/>
    </row>
    <row r="810" spans="1:26" ht="15.6" x14ac:dyDescent="0.3">
      <c r="A810" s="18" t="s">
        <v>8</v>
      </c>
      <c r="B810" s="25" t="s">
        <v>815</v>
      </c>
      <c r="C810" s="2" t="str">
        <f ca="1">IFERROR(__xludf.DUMMYFUNCTION("GOOGLETRANSLATE(B810, ""bn"", ""en"")"),"In the 2016 Nasirnagar communal violence, minority Hindus were attacked by Islamic extremists in Nasirnagar upazila on 30 October.")</f>
        <v>In the 2016 Nasirnagar communal violence, minority Hindus were attacked by Islamic extremists in Nasirnagar upazila on 30 October.</v>
      </c>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6" x14ac:dyDescent="0.3">
      <c r="A811" s="18" t="s">
        <v>3</v>
      </c>
      <c r="B811" s="25" t="s">
        <v>816</v>
      </c>
      <c r="C811" s="2" t="str">
        <f ca="1">IFERROR(__xludf.DUMMYFUNCTION("GOOGLETRANSLATE(B811, ""bn"", ""en"")"),"This event is held among Buddhists across the country for a month from Ashwini Purnima to Karthik Purnima. It is undeniable that the Tri-Cheebars are prepared and distributed in accordance with strict religious rituals and rules in the Buddhist Viharas of"&amp;" Bandarban.")</f>
        <v>This event is held among Buddhists across the country for a month from Ashwini Purnima to Karthik Purnima. It is undeniable that the Tri-Cheebars are prepared and distributed in accordance with strict religious rituals and rules in the Buddhist Viharas of Bandarban.</v>
      </c>
      <c r="D811" s="2"/>
      <c r="E811" s="2"/>
      <c r="F811" s="2"/>
      <c r="G811" s="2"/>
      <c r="H811" s="3"/>
      <c r="I811" s="3"/>
      <c r="J811" s="3"/>
      <c r="K811" s="3"/>
      <c r="L811" s="3"/>
      <c r="M811" s="3"/>
      <c r="N811" s="3"/>
      <c r="O811" s="3"/>
      <c r="P811" s="3"/>
      <c r="Q811" s="3"/>
      <c r="R811" s="3"/>
      <c r="S811" s="3"/>
      <c r="T811" s="3"/>
      <c r="U811" s="3"/>
      <c r="V811" s="3"/>
      <c r="W811" s="3"/>
      <c r="X811" s="3"/>
      <c r="Y811" s="3"/>
      <c r="Z811" s="3"/>
    </row>
    <row r="812" spans="1:26" ht="15.6" x14ac:dyDescent="0.3">
      <c r="A812" s="18" t="s">
        <v>8</v>
      </c>
      <c r="B812" s="25" t="s">
        <v>817</v>
      </c>
      <c r="C812" s="2" t="str">
        <f ca="1">IFERROR(__xludf.DUMMYFUNCTION("GOOGLETRANSLATE(B812, ""bn"", ""en"")"),"Some people of both Hindu and Muslim communities in Bangladesh feel that they are being oppressed, while another party is attacking them and vandalizing houses and burning temples and mosques for religious purposes.")</f>
        <v>Some people of both Hindu and Muslim communities in Bangladesh feel that they are being oppressed, while another party is attacking them and vandalizing houses and burning temples and mosques for religious purposes.</v>
      </c>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6" x14ac:dyDescent="0.3">
      <c r="A813" s="18" t="s">
        <v>23</v>
      </c>
      <c r="B813" s="25" t="s">
        <v>818</v>
      </c>
      <c r="C813" s="2" t="str">
        <f ca="1">IFERROR(__xludf.DUMMYFUNCTION("GOOGLETRANSLATE(B813, ""bn"", ""en"")"),"In Sylhet, all shops and businesses of the Hindu community were forced to close during the month of Ramadan. Kirtan and other religious ceremonies were prohibited, and the Muslims expressed non-stop violence.")</f>
        <v>In Sylhet, all shops and businesses of the Hindu community were forced to close during the month of Ramadan. Kirtan and other religious ceremonies were prohibited, and the Muslims expressed non-stop violence.</v>
      </c>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6" x14ac:dyDescent="0.3">
      <c r="A814" s="19" t="s">
        <v>3</v>
      </c>
      <c r="B814" s="26" t="s">
        <v>819</v>
      </c>
      <c r="C814" s="2" t="str">
        <f ca="1">IFERROR(__xludf.DUMMYFUNCTION("GOOGLETRANSLATE(B814, ""bn"", ""en"")"),"In Bangladesh, insulting religion and hurting sentiments is punishable by law.")</f>
        <v>In Bangladesh, insulting religion and hurting sentiments is punishable by law.</v>
      </c>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6" x14ac:dyDescent="0.3">
      <c r="A815" s="19" t="s">
        <v>3</v>
      </c>
      <c r="B815" s="26" t="s">
        <v>820</v>
      </c>
      <c r="C815" s="2" t="str">
        <f ca="1">IFERROR(__xludf.DUMMYFUNCTION("GOOGLETRANSLATE(B815, ""bn"", ""en"")"),"Ustad Noman Ali's generation would gradually replace orthodox scholars. The youth of Bangladesh are listening to his lectures and spreading it to the real lovers of Islam. May Allah accept this effort.")</f>
        <v>Ustad Noman Ali's generation would gradually replace orthodox scholars. The youth of Bangladesh are listening to his lectures and spreading it to the real lovers of Islam. May Allah accept this effort.</v>
      </c>
      <c r="D815" s="7"/>
      <c r="E815" s="7"/>
      <c r="F815" s="7"/>
      <c r="G815" s="7"/>
      <c r="H815" s="7"/>
      <c r="I815" s="7"/>
      <c r="J815" s="7"/>
      <c r="K815" s="7"/>
      <c r="L815" s="7"/>
      <c r="M815" s="7"/>
      <c r="N815" s="7"/>
      <c r="O815" s="7"/>
      <c r="P815" s="5"/>
      <c r="Q815" s="5"/>
      <c r="R815" s="5"/>
      <c r="S815" s="5"/>
      <c r="T815" s="5"/>
      <c r="U815" s="5"/>
      <c r="V815" s="5"/>
      <c r="W815" s="5"/>
      <c r="X815" s="5"/>
      <c r="Y815" s="5"/>
      <c r="Z815" s="5"/>
    </row>
    <row r="816" spans="1:26" ht="15.6" x14ac:dyDescent="0.3">
      <c r="A816" s="18" t="s">
        <v>5</v>
      </c>
      <c r="B816" s="25" t="s">
        <v>821</v>
      </c>
      <c r="C816" s="2" t="str">
        <f ca="1">IFERROR(__xludf.DUMMYFUNCTION("GOOGLETRANSLATE(B816, ""bn"", ""en"")"),"Muslim rioters organized and attacked Rajendralal's house. 22 members of the family including Rajendralal, his elder Chintacharan and Anuj Satish were killed.")</f>
        <v>Muslim rioters organized and attacked Rajendralal's house. 22 members of the family including Rajendralal, his elder Chintacharan and Anuj Satish were killed.</v>
      </c>
      <c r="D816" s="2"/>
      <c r="E816" s="2"/>
      <c r="F816" s="2"/>
      <c r="G816" s="2"/>
      <c r="H816" s="3"/>
      <c r="I816" s="3"/>
      <c r="J816" s="3"/>
      <c r="K816" s="3"/>
      <c r="L816" s="3"/>
      <c r="M816" s="3"/>
      <c r="N816" s="3"/>
      <c r="O816" s="3"/>
      <c r="P816" s="3"/>
      <c r="Q816" s="3"/>
      <c r="R816" s="3"/>
      <c r="S816" s="3"/>
      <c r="T816" s="3"/>
      <c r="U816" s="3"/>
      <c r="V816" s="3"/>
      <c r="W816" s="3"/>
      <c r="X816" s="3"/>
      <c r="Y816" s="3"/>
      <c r="Z816" s="3"/>
    </row>
    <row r="817" spans="1:26" ht="15.6" x14ac:dyDescent="0.3">
      <c r="A817" s="18" t="s">
        <v>5</v>
      </c>
      <c r="B817" s="24" t="s">
        <v>822</v>
      </c>
      <c r="C817" s="2" t="str">
        <f ca="1">IFERROR(__xludf.DUMMYFUNCTION("GOOGLETRANSLATE(B817, ""bn"", ""en"")"),"Religious clashes erupted in a market, killing 30 people.")</f>
        <v>Religious clashes erupted in a market, killing 30 people.</v>
      </c>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6" x14ac:dyDescent="0.3">
      <c r="A818" s="18" t="s">
        <v>3</v>
      </c>
      <c r="B818" s="25" t="s">
        <v>823</v>
      </c>
      <c r="C818" s="2" t="str">
        <f ca="1">IFERROR(__xludf.DUMMYFUNCTION("GOOGLETRANSLATE(B818, ""bn"", ""en"")"),"Many non-Muslims can also read the Qur'an very well, which shows their interest in knowledge. An important aspect of the Islamic faith is the oneness of God and the acceptance of Prophet Muhammad (PBUH) as the last prophet and messenger.")</f>
        <v>Many non-Muslims can also read the Qur'an very well, which shows their interest in knowledge. An important aspect of the Islamic faith is the oneness of God and the acceptance of Prophet Muhammad (PBUH) as the last prophet and messenger.</v>
      </c>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6" x14ac:dyDescent="0.3">
      <c r="A819" s="18" t="s">
        <v>5</v>
      </c>
      <c r="B819" s="25" t="s">
        <v>824</v>
      </c>
      <c r="C819" s="2" t="str">
        <f ca="1">IFERROR(__xludf.DUMMYFUNCTION("GOOGLETRANSLATE(B819, ""bn"", ""en"")"),"The attack on the Al Noor mosque during Friday prayers killed many Muslims, including children and the elderly, in an act of religious hatred.")</f>
        <v>The attack on the Al Noor mosque during Friday prayers killed many Muslims, including children and the elderly, in an act of religious hatred.</v>
      </c>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6" x14ac:dyDescent="0.3">
      <c r="A820" s="18" t="s">
        <v>8</v>
      </c>
      <c r="B820" s="24" t="s">
        <v>825</v>
      </c>
      <c r="C820" s="2" t="str">
        <f ca="1">IFERROR(__xludf.DUMMYFUNCTION("GOOGLETRANSLATE(B820, ""bn"", ""en"")"),"An effigy of a religious leader was burnt in front of a church in Mymensingh in the dead of night, creating fear among the Christian community.")</f>
        <v>An effigy of a religious leader was burnt in front of a church in Mymensingh in the dead of night, creating fear among the Christian community.</v>
      </c>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6" x14ac:dyDescent="0.3">
      <c r="A821" s="18" t="s">
        <v>5</v>
      </c>
      <c r="B821" s="25" t="s">
        <v>826</v>
      </c>
      <c r="C821" s="2" t="str">
        <f ca="1">IFERROR(__xludf.DUMMYFUNCTION("GOOGLETRANSLATE(B821, ""bn"", ""en"")"),"In the name of religion, some confused groups commit suicide attacks, kill innocent people, rape and murder. These heinous acts are grave sins in Islamic law and their consequence is eternal hell.")</f>
        <v>In the name of religion, some confused groups commit suicide attacks, kill innocent people, rape and murder. These heinous acts are grave sins in Islamic law and their consequence is eternal hell.</v>
      </c>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6" x14ac:dyDescent="0.3">
      <c r="A822" s="18" t="s">
        <v>5</v>
      </c>
      <c r="B822" s="24" t="s">
        <v>827</v>
      </c>
      <c r="C822" s="2" t="str">
        <f ca="1">IFERROR(__xludf.DUMMYFUNCTION("GOOGLETRANSLATE(B822, ""bn"", ""en"")"),"In a village in Gopalganj, a violent riot broke out due to a religious dispute between Hindus and Muslims. The terrorist group used various types of firearms in the clash, which resulted in the death of 41 people. Many temples and mosques were destroyed i"&amp;"n the conflict, many families were left homeless and the area remained under siege for a long time due to lack of security.")</f>
        <v>In a village in Gopalganj, a violent riot broke out due to a religious dispute between Hindus and Muslims. The terrorist group used various types of firearms in the clash, which resulted in the death of 41 people. Many temples and mosques were destroyed in the conflict, many families were left homeless and the area remained under siege for a long time due to lack of security.</v>
      </c>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6" x14ac:dyDescent="0.3">
      <c r="A823" s="18" t="s">
        <v>8</v>
      </c>
      <c r="B823" s="25" t="s">
        <v>828</v>
      </c>
      <c r="C823" s="2" t="str">
        <f ca="1">IFERROR(__xludf.DUMMYFUNCTION("GOOGLETRANSLATE(B823, ""bn"", ""en"")"),"On February 2, Muslims started attacking the Hindu community in Feni Upazila of the then Noakhali district.")</f>
        <v>On February 2, Muslims started attacking the Hindu community in Feni Upazila of the then Noakhali district.</v>
      </c>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6" x14ac:dyDescent="0.3">
      <c r="A824" s="19" t="s">
        <v>8</v>
      </c>
      <c r="B824" s="26" t="s">
        <v>829</v>
      </c>
      <c r="C824" s="2" t="str">
        <f ca="1">IFERROR(__xludf.DUMMYFUNCTION("GOOGLETRANSLATE(B824, ""bn"", ""en"")"),"All the Hindu houses were looted and the marble stones of the Biharilal temple were also taken away.")</f>
        <v>All the Hindu houses were looted and the marble stones of the Biharilal temple were also taken away.</v>
      </c>
      <c r="D824" s="7"/>
      <c r="E824" s="5"/>
      <c r="F824" s="5"/>
      <c r="G824" s="5"/>
      <c r="H824" s="5"/>
      <c r="I824" s="5"/>
      <c r="J824" s="5"/>
      <c r="K824" s="5"/>
      <c r="L824" s="5"/>
      <c r="M824" s="5"/>
      <c r="N824" s="5"/>
      <c r="O824" s="5"/>
      <c r="P824" s="5"/>
      <c r="Q824" s="5"/>
      <c r="R824" s="5"/>
      <c r="S824" s="5"/>
      <c r="T824" s="5"/>
      <c r="U824" s="5"/>
      <c r="V824" s="5"/>
      <c r="W824" s="5"/>
      <c r="X824" s="5"/>
      <c r="Y824" s="5"/>
      <c r="Z824" s="5"/>
    </row>
    <row r="825" spans="1:26" ht="15.6" x14ac:dyDescent="0.3">
      <c r="A825" s="19" t="s">
        <v>3</v>
      </c>
      <c r="B825" s="26" t="s">
        <v>830</v>
      </c>
      <c r="C825" s="2" t="str">
        <f ca="1">IFERROR(__xludf.DUMMYFUNCTION("GOOGLETRANSLATE(B825, ""bn"", ""en"")"),"The Prophet (PBUH) made a peace treaty with the Quraysh at Hudaybiyah without fighting, which was detrimental to the Muslims but later resulted in a clear victory.")</f>
        <v>The Prophet (PBUH) made a peace treaty with the Quraysh at Hudaybiyah without fighting, which was detrimental to the Muslims but later resulted in a clear victory.</v>
      </c>
      <c r="D825" s="7"/>
      <c r="E825" s="7"/>
      <c r="F825" s="7"/>
      <c r="G825" s="7"/>
      <c r="H825" s="7"/>
      <c r="I825" s="7"/>
      <c r="J825" s="5"/>
      <c r="K825" s="5"/>
      <c r="L825" s="5"/>
      <c r="M825" s="5"/>
      <c r="N825" s="5"/>
      <c r="O825" s="5"/>
      <c r="P825" s="5"/>
      <c r="Q825" s="5"/>
      <c r="R825" s="5"/>
      <c r="S825" s="5"/>
      <c r="T825" s="5"/>
      <c r="U825" s="5"/>
      <c r="V825" s="5"/>
      <c r="W825" s="5"/>
      <c r="X825" s="5"/>
      <c r="Y825" s="5"/>
      <c r="Z825" s="5"/>
    </row>
    <row r="826" spans="1:26" ht="15.6" x14ac:dyDescent="0.3">
      <c r="A826" s="19" t="s">
        <v>3</v>
      </c>
      <c r="B826" s="26" t="s">
        <v>831</v>
      </c>
      <c r="C826" s="2" t="str">
        <f ca="1">IFERROR(__xludf.DUMMYFUNCTION("GOOGLETRANSLATE(B826, ""bn"", ""en"")"),"Everyone has the freedom to practice the religion of their choice; So mutual respect and opinions should be respected.")</f>
        <v>Everyone has the freedom to practice the religion of their choice; So mutual respect and opinions should be respected.</v>
      </c>
      <c r="D826" s="7"/>
      <c r="E826" s="7"/>
      <c r="F826" s="7"/>
      <c r="G826" s="5"/>
      <c r="H826" s="5"/>
      <c r="I826" s="5"/>
      <c r="J826" s="5"/>
      <c r="K826" s="5"/>
      <c r="L826" s="5"/>
      <c r="M826" s="5"/>
      <c r="N826" s="5"/>
      <c r="O826" s="5"/>
      <c r="P826" s="5"/>
      <c r="Q826" s="5"/>
      <c r="R826" s="5"/>
      <c r="S826" s="5"/>
      <c r="T826" s="5"/>
      <c r="U826" s="5"/>
      <c r="V826" s="5"/>
      <c r="W826" s="5"/>
      <c r="X826" s="5"/>
      <c r="Y826" s="5"/>
      <c r="Z826" s="5"/>
    </row>
    <row r="827" spans="1:26" ht="15.6" x14ac:dyDescent="0.3">
      <c r="A827" s="18" t="s">
        <v>8</v>
      </c>
      <c r="B827" s="25" t="s">
        <v>832</v>
      </c>
      <c r="C827" s="2" t="str">
        <f ca="1">IFERROR(__xludf.DUMMYFUNCTION("GOOGLETRANSLATE(B827, ""bn"", ""en"")"),"The first incident of vandalism of Durga idols by extremist groups in 2021 was recorded on September 22 in Kushtia town. In the incident, all the idols including Durga idol under construction were vandalized.")</f>
        <v>The first incident of vandalism of Durga idols by extremist groups in 2021 was recorded on September 22 in Kushtia town. In the incident, all the idols including Durga idol under construction were vandalized.</v>
      </c>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6" x14ac:dyDescent="0.3">
      <c r="A828" s="18" t="s">
        <v>5</v>
      </c>
      <c r="B828" s="25" t="s">
        <v>833</v>
      </c>
      <c r="C828" s="2" t="str">
        <f ca="1">IFERROR(__xludf.DUMMYFUNCTION("GOOGLETRANSLATE(B828, ""bn"", ""en"")"),"Every Hindu house in Murapara was burnt down. Hundreds of Hindus including women were burnt alive.")</f>
        <v>Every Hindu house in Murapara was burnt down. Hundreds of Hindus including women were burnt alive.</v>
      </c>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6" x14ac:dyDescent="0.3">
      <c r="A829" s="19" t="s">
        <v>3</v>
      </c>
      <c r="B829" s="26" t="s">
        <v>834</v>
      </c>
      <c r="C829" s="2" t="str">
        <f ca="1">IFERROR(__xludf.DUMMYFUNCTION("GOOGLETRANSLATE(B829, ""bn"", ""en"")"),"There is an opportunity to add more accurate and rich information about Hinduism to the textbooks for the Hindu community living in Bangladesh.")</f>
        <v>There is an opportunity to add more accurate and rich information about Hinduism to the textbooks for the Hindu community living in Bangladesh.</v>
      </c>
      <c r="D829" s="7"/>
      <c r="E829" s="7"/>
      <c r="F829" s="7"/>
      <c r="G829" s="7"/>
      <c r="H829" s="7"/>
      <c r="I829" s="5"/>
      <c r="J829" s="5"/>
      <c r="K829" s="5"/>
      <c r="L829" s="5"/>
      <c r="M829" s="5"/>
      <c r="N829" s="5"/>
      <c r="O829" s="5"/>
      <c r="P829" s="5"/>
      <c r="Q829" s="5"/>
      <c r="R829" s="5"/>
      <c r="S829" s="5"/>
      <c r="T829" s="5"/>
      <c r="U829" s="5"/>
      <c r="V829" s="5"/>
      <c r="W829" s="5"/>
      <c r="X829" s="5"/>
      <c r="Y829" s="5"/>
      <c r="Z829" s="5"/>
    </row>
    <row r="830" spans="1:26" ht="15.6" x14ac:dyDescent="0.3">
      <c r="A830" s="18" t="s">
        <v>3</v>
      </c>
      <c r="B830" s="25" t="s">
        <v>835</v>
      </c>
      <c r="C830" s="2" t="str">
        <f ca="1">IFERROR(__xludf.DUMMYFUNCTION("GOOGLETRANSLATE(B830, ""bn"", ""en"")"),"Muslims believe that every letter, word and sentence of the Holy Qur'an is as preserved as ever since it was revealed to the Holy Prophet Muhammad (PBUH) about 1400 years ago.")</f>
        <v>Muslims believe that every letter, word and sentence of the Holy Qur'an is as preserved as ever since it was revealed to the Holy Prophet Muhammad (PBUH) about 1400 years ago.</v>
      </c>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6" x14ac:dyDescent="0.3">
      <c r="A831" s="18" t="s">
        <v>5</v>
      </c>
      <c r="B831" s="24" t="s">
        <v>836</v>
      </c>
      <c r="C831" s="2" t="str">
        <f ca="1">IFERROR(__xludf.DUMMYFUNCTION("GOOGLETRANSLATE(B831, ""bn"", ""en"")"),"In March 2020, a blogger was killed due to sectarian hatred; 14 people were killed in the protest.")</f>
        <v>In March 2020, a blogger was killed due to sectarian hatred; 14 people were killed in the protest.</v>
      </c>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6" x14ac:dyDescent="0.3">
      <c r="A832" s="19" t="s">
        <v>3</v>
      </c>
      <c r="B832" s="26" t="s">
        <v>837</v>
      </c>
      <c r="C832" s="2" t="str">
        <f ca="1">IFERROR(__xludf.DUMMYFUNCTION("GOOGLETRANSLATE(B832, ""bn"", ""en"")"),"During the Mughal period, Muslims could not openly convert to Christianity without the king's permission, as it would also endanger the priests.")</f>
        <v>During the Mughal period, Muslims could not openly convert to Christianity without the king's permission, as it would also endanger the priests.</v>
      </c>
      <c r="D832" s="7"/>
      <c r="E832" s="7"/>
      <c r="F832" s="7"/>
      <c r="G832" s="7"/>
      <c r="H832" s="7"/>
      <c r="I832" s="5"/>
      <c r="J832" s="5"/>
      <c r="K832" s="5"/>
      <c r="L832" s="5"/>
      <c r="M832" s="5"/>
      <c r="N832" s="5"/>
      <c r="O832" s="5"/>
      <c r="P832" s="5"/>
      <c r="Q832" s="5"/>
      <c r="R832" s="5"/>
      <c r="S832" s="5"/>
      <c r="T832" s="5"/>
      <c r="U832" s="5"/>
      <c r="V832" s="5"/>
      <c r="W832" s="5"/>
      <c r="X832" s="5"/>
      <c r="Y832" s="5"/>
      <c r="Z832" s="5"/>
    </row>
    <row r="833" spans="1:26" ht="15.6" x14ac:dyDescent="0.3">
      <c r="A833" s="18" t="s">
        <v>3</v>
      </c>
      <c r="B833" s="25" t="s">
        <v>838</v>
      </c>
      <c r="C833" s="2" t="str">
        <f ca="1">IFERROR(__xludf.DUMMYFUNCTION("GOOGLETRANSLATE(B833, ""bn"", ""en"")"),"What Allah has ordained for man must be fulfilled. It has been said, 'Allah will fulfill His will; Allah has set certain limits for everything.")</f>
        <v>What Allah has ordained for man must be fulfilled. It has been said, 'Allah will fulfill His will; Allah has set certain limits for everything.</v>
      </c>
      <c r="D833" s="2"/>
      <c r="E833" s="2"/>
      <c r="F833" s="2"/>
      <c r="G833" s="2"/>
      <c r="H833" s="5"/>
      <c r="I833" s="5"/>
      <c r="J833" s="5"/>
      <c r="K833" s="5"/>
      <c r="L833" s="5"/>
      <c r="M833" s="5"/>
      <c r="N833" s="5"/>
      <c r="O833" s="5"/>
      <c r="P833" s="5"/>
      <c r="Q833" s="5"/>
      <c r="R833" s="5"/>
      <c r="S833" s="5"/>
      <c r="T833" s="5"/>
      <c r="U833" s="5"/>
      <c r="V833" s="5"/>
      <c r="W833" s="5"/>
      <c r="X833" s="5"/>
      <c r="Y833" s="5"/>
      <c r="Z833" s="5"/>
    </row>
    <row r="834" spans="1:26" ht="15.6" x14ac:dyDescent="0.3">
      <c r="A834" s="18" t="s">
        <v>5</v>
      </c>
      <c r="B834" s="25" t="s">
        <v>839</v>
      </c>
      <c r="C834" s="2" t="str">
        <f ca="1">IFERROR(__xludf.DUMMYFUNCTION("GOOGLETRANSLATE(B834, ""bn"", ""en"")"),"Hindu male and female children were gunned down separately in religious hatred, surviving teenagers were killed with bayonets, some committed suicide in fear but could not save their lives.")</f>
        <v>Hindu male and female children were gunned down separately in religious hatred, surviving teenagers were killed with bayonets, some committed suicide in fear but could not save their lives.</v>
      </c>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6" x14ac:dyDescent="0.3">
      <c r="A835" s="18" t="s">
        <v>8</v>
      </c>
      <c r="B835" s="25" t="s">
        <v>840</v>
      </c>
      <c r="C835" s="2" t="str">
        <f ca="1">IFERROR(__xludf.DUMMYFUNCTION("GOOGLETRANSLATE(B835, ""bn"", ""en"")"),"The Muslims ransacked and set fire to the Dhakeshwari temple, the national temple of Bangladesh in Lalbagh, Dhaka and other adjacent buildings.")</f>
        <v>The Muslims ransacked and set fire to the Dhakeshwari temple, the national temple of Bangladesh in Lalbagh, Dhaka and other adjacent buildings.</v>
      </c>
      <c r="D835" s="2"/>
      <c r="E835" s="2"/>
      <c r="F835" s="2"/>
      <c r="G835" s="2"/>
      <c r="H835" s="3"/>
      <c r="I835" s="3"/>
      <c r="J835" s="3"/>
      <c r="K835" s="3"/>
      <c r="L835" s="3"/>
      <c r="M835" s="3"/>
      <c r="N835" s="3"/>
      <c r="O835" s="3"/>
      <c r="P835" s="3"/>
      <c r="Q835" s="3"/>
      <c r="R835" s="3"/>
      <c r="S835" s="3"/>
      <c r="T835" s="3"/>
      <c r="U835" s="3"/>
      <c r="V835" s="3"/>
      <c r="W835" s="3"/>
      <c r="X835" s="3"/>
      <c r="Y835" s="3"/>
      <c r="Z835" s="3"/>
    </row>
    <row r="836" spans="1:26" ht="15.6" x14ac:dyDescent="0.3">
      <c r="A836" s="19" t="s">
        <v>3</v>
      </c>
      <c r="B836" s="26" t="s">
        <v>841</v>
      </c>
      <c r="C836" s="2" t="str">
        <f ca="1">IFERROR(__xludf.DUMMYFUNCTION("GOOGLETRANSLATE(B836, ""bn"", ""en"")"),"Muslims are the main community of the country and they are in the majority position in 8 divisions of Bangladesh. 88 percent of Muslims in Bangladesh are Bengali Muslims and 2 percent are Bihari Muslims.")</f>
        <v>Muslims are the main community of the country and they are in the majority position in 8 divisions of Bangladesh. 88 percent of Muslims in Bangladesh are Bengali Muslims and 2 percent are Bihari Muslims.</v>
      </c>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6" x14ac:dyDescent="0.3">
      <c r="A837" s="18" t="s">
        <v>5</v>
      </c>
      <c r="B837" s="24" t="s">
        <v>842</v>
      </c>
      <c r="C837" s="2" t="str">
        <f ca="1">IFERROR(__xludf.DUMMYFUNCTION("GOOGLETRANSLATE(B837, ""bn"", ""en"")"),"A minority community's house was seized in religious incitement, men were allegedly killed and women were raped. Total killed: 21.")</f>
        <v>A minority community's house was seized in religious incitement, men were allegedly killed and women were raped. Total killed: 21.</v>
      </c>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6" x14ac:dyDescent="0.3">
      <c r="A838" s="19" t="s">
        <v>3</v>
      </c>
      <c r="B838" s="26" t="s">
        <v>843</v>
      </c>
      <c r="C838" s="2" t="str">
        <f ca="1">IFERROR(__xludf.DUMMYFUNCTION("GOOGLETRANSLATE(B838, ""bn"", ""en"")"),"Representing our religion and culture, all should come together on the path of love and peace, so that there is no fear or division.")</f>
        <v>Representing our religion and culture, all should come together on the path of love and peace, so that there is no fear or division.</v>
      </c>
      <c r="D838" s="7"/>
      <c r="E838" s="7"/>
      <c r="F838" s="7"/>
      <c r="G838" s="7"/>
      <c r="H838" s="7"/>
      <c r="I838" s="7"/>
      <c r="J838" s="5"/>
      <c r="K838" s="5"/>
      <c r="L838" s="5"/>
      <c r="M838" s="5"/>
      <c r="N838" s="5"/>
      <c r="O838" s="5"/>
      <c r="P838" s="5"/>
      <c r="Q838" s="5"/>
      <c r="R838" s="5"/>
      <c r="S838" s="5"/>
      <c r="T838" s="5"/>
      <c r="U838" s="5"/>
      <c r="V838" s="5"/>
      <c r="W838" s="5"/>
      <c r="X838" s="5"/>
      <c r="Y838" s="5"/>
      <c r="Z838" s="5"/>
    </row>
    <row r="839" spans="1:26" ht="15.6" x14ac:dyDescent="0.3">
      <c r="A839" s="18" t="s">
        <v>8</v>
      </c>
      <c r="B839" s="25" t="s">
        <v>844</v>
      </c>
      <c r="C839" s="2" t="str">
        <f ca="1">IFERROR(__xludf.DUMMYFUNCTION("GOOGLETRANSLATE(B839, ""bn"", ""en"")"),"The theft of a sacred hair hurt religious sentiments, leading to extreme tension and protests at a dargashrif outside Bangladesh.")</f>
        <v>The theft of a sacred hair hurt religious sentiments, leading to extreme tension and protests at a dargashrif outside Bangladesh.</v>
      </c>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6" x14ac:dyDescent="0.3">
      <c r="A840" s="19" t="s">
        <v>3</v>
      </c>
      <c r="B840" s="26" t="s">
        <v>845</v>
      </c>
      <c r="C840" s="2" t="str">
        <f ca="1">IFERROR(__xludf.DUMMYFUNCTION("GOOGLETRANSLATE(B840, ""bn"", ""en"")"),"In 2007 the government in Brahmanbaria banned the use of the word Allah by non-Muslims, but in 2009 the Malayan High Court overturned the law and ruled it unconstitutional.")</f>
        <v>In 2007 the government in Brahmanbaria banned the use of the word Allah by non-Muslims, but in 2009 the Malayan High Court overturned the law and ruled it unconstitutional.</v>
      </c>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6" x14ac:dyDescent="0.3">
      <c r="A841" s="19" t="s">
        <v>5</v>
      </c>
      <c r="B841" s="26" t="s">
        <v>846</v>
      </c>
      <c r="C841" s="2" t="str">
        <f ca="1">IFERROR(__xludf.DUMMYFUNCTION("GOOGLETRANSLATE(B841, ""bn"", ""en"")"),"At least 16 soldiers were killed in an attack by locals while suppressing communal violence in Bangladesh.")</f>
        <v>At least 16 soldiers were killed in an attack by locals while suppressing communal violence in Bangladesh.</v>
      </c>
      <c r="D841" s="7"/>
      <c r="E841" s="7"/>
      <c r="F841" s="7"/>
      <c r="G841" s="5"/>
      <c r="H841" s="5"/>
      <c r="I841" s="5"/>
      <c r="J841" s="5"/>
      <c r="K841" s="5"/>
      <c r="L841" s="5"/>
      <c r="M841" s="5"/>
      <c r="N841" s="5"/>
      <c r="O841" s="5"/>
      <c r="P841" s="5"/>
      <c r="Q841" s="5"/>
      <c r="R841" s="5"/>
      <c r="S841" s="5"/>
      <c r="T841" s="5"/>
      <c r="U841" s="5"/>
      <c r="V841" s="5"/>
      <c r="W841" s="5"/>
      <c r="X841" s="5"/>
      <c r="Y841" s="5"/>
      <c r="Z841" s="5"/>
    </row>
    <row r="842" spans="1:26" ht="15.6" x14ac:dyDescent="0.3">
      <c r="A842" s="18" t="s">
        <v>5</v>
      </c>
      <c r="B842" s="25" t="s">
        <v>847</v>
      </c>
      <c r="C842" s="2" t="str">
        <f ca="1">IFERROR(__xludf.DUMMYFUNCTION("GOOGLETRANSLATE(B842, ""bn"", ""en"")"),"Deviprasanna Guha, son of a Congress leader of Babupur village under Ramganj police station, was killed by Muslims. They seriously injured another brother of Deviprasanna and their employee. The Congress office in front of Deviprasanna's house was set on "&amp;"fire.")</f>
        <v>Deviprasanna Guha, son of a Congress leader of Babupur village under Ramganj police station, was killed by Muslims. They seriously injured another brother of Deviprasanna and their employee. The Congress office in front of Deviprasanna's house was set on fire.</v>
      </c>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6" x14ac:dyDescent="0.3">
      <c r="A843" s="19" t="s">
        <v>23</v>
      </c>
      <c r="B843" s="26" t="s">
        <v>848</v>
      </c>
      <c r="C843" s="2" t="str">
        <f ca="1">IFERROR(__xludf.DUMMYFUNCTION("GOOGLETRANSLATE(B843, ""bn"", ""en"")"),"Religious differences have sparked violence between two communities in Brahmanbaria, where hundreds of people have been threatened with beheading.")</f>
        <v>Religious differences have sparked violence between two communities in Brahmanbaria, where hundreds of people have been threatened with beheading.</v>
      </c>
      <c r="D843" s="7"/>
      <c r="E843" s="7"/>
      <c r="F843" s="7"/>
      <c r="G843" s="7"/>
      <c r="H843" s="7"/>
      <c r="I843" s="7"/>
      <c r="J843" s="7"/>
      <c r="K843" s="5"/>
      <c r="L843" s="5"/>
      <c r="M843" s="5"/>
      <c r="N843" s="5"/>
      <c r="O843" s="5"/>
      <c r="P843" s="5"/>
      <c r="Q843" s="5"/>
      <c r="R843" s="5"/>
      <c r="S843" s="5"/>
      <c r="T843" s="5"/>
      <c r="U843" s="5"/>
      <c r="V843" s="5"/>
      <c r="W843" s="5"/>
      <c r="X843" s="5"/>
      <c r="Y843" s="5"/>
      <c r="Z843" s="5"/>
    </row>
    <row r="844" spans="1:26" ht="15.6" x14ac:dyDescent="0.3">
      <c r="A844" s="19" t="s">
        <v>3</v>
      </c>
      <c r="B844" s="26" t="s">
        <v>849</v>
      </c>
      <c r="C844" s="2" t="str">
        <f ca="1">IFERROR(__xludf.DUMMYFUNCTION("GOOGLETRANSLATE(B844, ""bn"", ""en"")"),"Here, of course, I congratulate this judgment of our Hon'ble High Court of Bangladesh and also want to say that we will never tolerate any anti-Islamic activities or hurt religious sentiments in this Bangladesh. Thank you.")</f>
        <v>Here, of course, I congratulate this judgment of our Hon'ble High Court of Bangladesh and also want to say that we will never tolerate any anti-Islamic activities or hurt religious sentiments in this Bangladesh. Thank you.</v>
      </c>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6" x14ac:dyDescent="0.3">
      <c r="A845" s="18" t="s">
        <v>8</v>
      </c>
      <c r="B845" s="25" t="s">
        <v>850</v>
      </c>
      <c r="C845" s="2" t="str">
        <f ca="1">IFERROR(__xludf.DUMMYFUNCTION("GOOGLETRANSLATE(B845, ""bn"", ""en"")"),"The incident took place at the Durga Pujamandap of Bimal Das of Jatrapur Dakshinpara village late on Monday night.")</f>
        <v>The incident took place at the Durga Pujamandap of Bimal Das of Jatrapur Dakshinpara village late on Monday night.</v>
      </c>
      <c r="D845" s="2"/>
      <c r="E845" s="2"/>
      <c r="F845" s="2"/>
      <c r="G845" s="2"/>
      <c r="H845" s="3"/>
      <c r="I845" s="3"/>
      <c r="J845" s="3"/>
      <c r="K845" s="3"/>
      <c r="L845" s="3"/>
      <c r="M845" s="3"/>
      <c r="N845" s="3"/>
      <c r="O845" s="3"/>
      <c r="P845" s="3"/>
      <c r="Q845" s="3"/>
      <c r="R845" s="3"/>
      <c r="S845" s="3"/>
      <c r="T845" s="3"/>
      <c r="U845" s="3"/>
      <c r="V845" s="3"/>
      <c r="W845" s="3"/>
      <c r="X845" s="3"/>
      <c r="Y845" s="3"/>
      <c r="Z845" s="3"/>
    </row>
    <row r="846" spans="1:26" ht="15.6" x14ac:dyDescent="0.3">
      <c r="A846" s="18" t="s">
        <v>5</v>
      </c>
      <c r="B846" s="24" t="s">
        <v>851</v>
      </c>
      <c r="C846" s="2" t="str">
        <f ca="1">IFERROR(__xludf.DUMMYFUNCTION("GOOGLETRANSLATE(B846, ""bn"", ""en"")"),"In July 2017, members of a religious group set fire to a minority house; 30 people were killed and many families were displaced.")</f>
        <v>In July 2017, members of a religious group set fire to a minority house; 30 people were killed and many families were displaced.</v>
      </c>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6" x14ac:dyDescent="0.3">
      <c r="A847" s="18" t="s">
        <v>5</v>
      </c>
      <c r="B847" s="24" t="s">
        <v>852</v>
      </c>
      <c r="C847" s="2" t="str">
        <f ca="1">IFERROR(__xludf.DUMMYFUNCTION("GOOGLETRANSLATE(B847, ""bn"", ""en"")"),"44 people lost their lives in religious riots in Sylhet. Police quickly cordoned off the area, the government ordered to remain calm and responsible. Affected families seek shelter for safety.")</f>
        <v>44 people lost their lives in religious riots in Sylhet. Police quickly cordoned off the area, the government ordered to remain calm and responsible. Affected families seek shelter for safety.</v>
      </c>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6" x14ac:dyDescent="0.3">
      <c r="A848" s="18" t="s">
        <v>3</v>
      </c>
      <c r="B848" s="25" t="s">
        <v>853</v>
      </c>
      <c r="C848" s="2" t="str">
        <f ca="1">IFERROR(__xludf.DUMMYFUNCTION("GOOGLETRANSLATE(B848, ""bn"", ""en"")"),"The more people stand beside others in danger, take the responsibility of solving it, the more miraculous peace will come from within and depression will disappear. He will also be grateful to God that he is not in such danger, or that many people are in "&amp;"much more dire straits than he realizes. Islam is a complete way of life.")</f>
        <v>The more people stand beside others in danger, take the responsibility of solving it, the more miraculous peace will come from within and depression will disappear. He will also be grateful to God that he is not in such danger, or that many people are in much more dire straits than he realizes. Islam is a complete way of life.</v>
      </c>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6" x14ac:dyDescent="0.3">
      <c r="A849" s="18" t="s">
        <v>23</v>
      </c>
      <c r="B849" s="25" t="s">
        <v>854</v>
      </c>
      <c r="C849" s="2" t="str">
        <f ca="1">IFERROR(__xludf.DUMMYFUNCTION("GOOGLETRANSLATE(B849, ""bn"", ""en"")"),"Harassing religious beliefs by making offensive comments about religion is a punishable offense under the existing laws of the country.")</f>
        <v>Harassing religious beliefs by making offensive comments about religion is a punishable offense under the existing laws of the country.</v>
      </c>
      <c r="D849" s="2"/>
      <c r="E849" s="2"/>
      <c r="F849" s="2"/>
      <c r="G849" s="2"/>
      <c r="H849" s="3"/>
      <c r="I849" s="3"/>
      <c r="J849" s="3"/>
      <c r="K849" s="3"/>
      <c r="L849" s="3"/>
      <c r="M849" s="3"/>
      <c r="N849" s="3"/>
      <c r="O849" s="3"/>
      <c r="P849" s="3"/>
      <c r="Q849" s="3"/>
      <c r="R849" s="3"/>
      <c r="S849" s="3"/>
      <c r="T849" s="3"/>
      <c r="U849" s="3"/>
      <c r="V849" s="3"/>
      <c r="W849" s="3"/>
      <c r="X849" s="3"/>
      <c r="Y849" s="3"/>
      <c r="Z849" s="3"/>
    </row>
    <row r="850" spans="1:26" ht="15.6" x14ac:dyDescent="0.3">
      <c r="A850" s="18" t="s">
        <v>5</v>
      </c>
      <c r="B850" s="25" t="s">
        <v>855</v>
      </c>
      <c r="C850" s="2" t="str">
        <f ca="1">IFERROR(__xludf.DUMMYFUNCTION("GOOGLETRANSLATE(B850, ""bn"", ""en"")"),"Officially, the destruction of the Bari Mosque resulted in 900 deaths, 2,036 injuries, and thousands of internally displaced people in mob riots and firing by the police.")</f>
        <v>Officially, the destruction of the Bari Mosque resulted in 900 deaths, 2,036 injuries, and thousands of internally displaced people in mob riots and firing by the police.</v>
      </c>
      <c r="D850" s="9"/>
      <c r="E850" s="9"/>
      <c r="F850" s="9"/>
      <c r="G850" s="9"/>
      <c r="H850" s="3"/>
      <c r="I850" s="3"/>
      <c r="J850" s="3"/>
      <c r="K850" s="3"/>
      <c r="L850" s="3"/>
      <c r="M850" s="3"/>
      <c r="N850" s="3"/>
      <c r="O850" s="3"/>
      <c r="P850" s="3"/>
      <c r="Q850" s="3"/>
      <c r="R850" s="3"/>
      <c r="S850" s="3"/>
      <c r="T850" s="3"/>
      <c r="U850" s="3"/>
      <c r="V850" s="3"/>
      <c r="W850" s="3"/>
      <c r="X850" s="3"/>
      <c r="Y850" s="3"/>
      <c r="Z850" s="3"/>
    </row>
    <row r="851" spans="1:26" ht="15.6" x14ac:dyDescent="0.3">
      <c r="A851" s="18" t="s">
        <v>8</v>
      </c>
      <c r="B851" s="25" t="s">
        <v>856</v>
      </c>
      <c r="C851" s="2" t="str">
        <f ca="1">IFERROR(__xludf.DUMMYFUNCTION("GOOGLETRANSLATE(B851, ""bn"", ""en"")"),"In 2019, clashes between Muslim and Christian communities left several worshipers injured and places of worship damaged.")</f>
        <v>In 2019, clashes between Muslim and Christian communities left several worshipers injured and places of worship damaged.</v>
      </c>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6" x14ac:dyDescent="0.3">
      <c r="A852" s="18" t="s">
        <v>3</v>
      </c>
      <c r="B852" s="25" t="s">
        <v>857</v>
      </c>
      <c r="C852" s="2" t="str">
        <f ca="1">IFERROR(__xludf.DUMMYFUNCTION("GOOGLETRANSLATE(B852, ""bn"", ""en"")"),"Several hadiths have been narrated about the virtues of this holy night. This night is a golden opportunity to forgive sins. In the Hadith Sharif, the Messenger of Allah (SAW) said, ""Whoever performs Qiyaam (prayer) on Lailatul Qadr with the intention of"&amp;" faith and reward, all his previous sins will be forgiven."" (Muslim Sharif, Hadith: 760)")</f>
        <v>Several hadiths have been narrated about the virtues of this holy night. This night is a golden opportunity to forgive sins. In the Hadith Sharif, the Messenger of Allah (SAW) said, "Whoever performs Qiyaam (prayer) on Lailatul Qadr with the intention of faith and reward, all his previous sins will be forgiven." (Muslim Sharif, Hadith: 760)</v>
      </c>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6" x14ac:dyDescent="0.3">
      <c r="A853" s="18" t="s">
        <v>5</v>
      </c>
      <c r="B853" s="25" t="s">
        <v>858</v>
      </c>
      <c r="C853" s="2" t="str">
        <f ca="1">IFERROR(__xludf.DUMMYFUNCTION("GOOGLETRANSLATE(B853, ""bn"", ""en"")"),"In the last one year, 1 thousand 45 cases of communal violence-persecution-persecution have occurred across the country. 45 people from religious and ethnic minorities were killed in these incidents.")</f>
        <v>In the last one year, 1 thousand 45 cases of communal violence-persecution-persecution have occurred across the country. 45 people from religious and ethnic minorities were killed in these incidents.</v>
      </c>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6" x14ac:dyDescent="0.3">
      <c r="A854" s="18" t="s">
        <v>23</v>
      </c>
      <c r="B854" s="25" t="s">
        <v>859</v>
      </c>
      <c r="C854" s="2" t="str">
        <f ca="1">IFERROR(__xludf.DUMMYFUNCTION("GOOGLETRANSLATE(B854, ""bn"", ""en"")"),"The university has spread hatred towards Muslims since its inception, it is an exclusive institution of Hindus, a factory to suppress Muslims.")</f>
        <v>The university has spread hatred towards Muslims since its inception, it is an exclusive institution of Hindus, a factory to suppress Muslims.</v>
      </c>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6" x14ac:dyDescent="0.3">
      <c r="A855" s="19" t="s">
        <v>8</v>
      </c>
      <c r="B855" s="26" t="s">
        <v>860</v>
      </c>
      <c r="C855" s="2" t="str">
        <f ca="1">IFERROR(__xludf.DUMMYFUNCTION("GOOGLETRANSLATE(B855, ""bn"", ""en"")"),"In Satkhira, Jamaat and Shibir workers attacked Hindu homes and businesses, looting and destroying hundreds of Hindu homes and businesses.")</f>
        <v>In Satkhira, Jamaat and Shibir workers attacked Hindu homes and businesses, looting and destroying hundreds of Hindu homes and businesses.</v>
      </c>
      <c r="D855" s="7"/>
      <c r="E855" s="7"/>
      <c r="F855" s="7"/>
      <c r="G855" s="7"/>
      <c r="H855" s="7"/>
      <c r="I855" s="7"/>
      <c r="J855" s="7"/>
      <c r="K855" s="7"/>
      <c r="L855" s="5"/>
      <c r="M855" s="5"/>
      <c r="N855" s="5"/>
      <c r="O855" s="5"/>
      <c r="P855" s="5"/>
      <c r="Q855" s="5"/>
      <c r="R855" s="5"/>
      <c r="S855" s="5"/>
      <c r="T855" s="5"/>
      <c r="U855" s="5"/>
      <c r="V855" s="5"/>
      <c r="W855" s="5"/>
      <c r="X855" s="5"/>
      <c r="Y855" s="5"/>
      <c r="Z855" s="5"/>
    </row>
    <row r="856" spans="1:26" ht="15.6" x14ac:dyDescent="0.3">
      <c r="A856" s="18" t="s">
        <v>3</v>
      </c>
      <c r="B856" s="25" t="s">
        <v>861</v>
      </c>
      <c r="C856" s="2" t="str">
        <f ca="1">IFERROR(__xludf.DUMMYFUNCTION("GOOGLETRANSLATE(B856, ""bn"", ""en"")"),"Allah says in the Qur'an that it is essential for Muslims to show love, kindness, and affection to each other, which makes the world peaceful.")</f>
        <v>Allah says in the Qur'an that it is essential for Muslims to show love, kindness, and affection to each other, which makes the world peaceful.</v>
      </c>
      <c r="D856" s="2"/>
      <c r="E856" s="2"/>
      <c r="F856" s="2"/>
      <c r="G856" s="2"/>
      <c r="H856" s="3"/>
      <c r="I856" s="3"/>
      <c r="J856" s="3"/>
      <c r="K856" s="3"/>
      <c r="L856" s="3"/>
      <c r="M856" s="3"/>
      <c r="N856" s="3"/>
      <c r="O856" s="3"/>
      <c r="P856" s="3"/>
      <c r="Q856" s="3"/>
      <c r="R856" s="3"/>
      <c r="S856" s="3"/>
      <c r="T856" s="3"/>
      <c r="U856" s="3"/>
      <c r="V856" s="3"/>
      <c r="W856" s="3"/>
      <c r="X856" s="3"/>
      <c r="Y856" s="3"/>
      <c r="Z856" s="3"/>
    </row>
    <row r="857" spans="1:26" ht="15.6" x14ac:dyDescent="0.3">
      <c r="A857" s="18" t="s">
        <v>5</v>
      </c>
      <c r="B857" s="25" t="s">
        <v>862</v>
      </c>
      <c r="C857" s="2" t="str">
        <f ca="1">IFERROR(__xludf.DUMMYFUNCTION("GOOGLETRANSLATE(B857, ""bn"", ""en"")"),"The 2009 massacre, which saw brutal attacks and looting on both Hindus and Muslims, remains a memory of deep sorrow and pain.")</f>
        <v>The 2009 massacre, which saw brutal attacks and looting on both Hindus and Muslims, remains a memory of deep sorrow and pain.</v>
      </c>
      <c r="D857" s="2"/>
      <c r="E857" s="2"/>
      <c r="F857" s="2"/>
      <c r="G857" s="2"/>
      <c r="H857" s="5"/>
      <c r="I857" s="5"/>
      <c r="J857" s="5"/>
      <c r="K857" s="5"/>
      <c r="L857" s="5"/>
      <c r="M857" s="5"/>
      <c r="N857" s="5"/>
      <c r="O857" s="5"/>
      <c r="P857" s="5"/>
      <c r="Q857" s="5"/>
      <c r="R857" s="5"/>
      <c r="S857" s="5"/>
      <c r="T857" s="5"/>
      <c r="U857" s="5"/>
      <c r="V857" s="5"/>
      <c r="W857" s="5"/>
      <c r="X857" s="5"/>
      <c r="Y857" s="5"/>
      <c r="Z857" s="5"/>
    </row>
    <row r="858" spans="1:26" ht="15.6" x14ac:dyDescent="0.3">
      <c r="A858" s="19" t="s">
        <v>3</v>
      </c>
      <c r="B858" s="26" t="s">
        <v>863</v>
      </c>
      <c r="C858" s="2" t="str">
        <f ca="1">IFERROR(__xludf.DUMMYFUNCTION("GOOGLETRANSLATE(B858, ""bn"", ""en"")"),"Mambha Mela is a prominent religious festival where people show their faith and respect towards God, but some unexpected circumstances lead to tragic events.")</f>
        <v>Mambha Mela is a prominent religious festival where people show their faith and respect towards God, but some unexpected circumstances lead to tragic events.</v>
      </c>
      <c r="D858" s="7"/>
      <c r="E858" s="7"/>
      <c r="F858" s="7"/>
      <c r="G858" s="7"/>
      <c r="H858" s="7"/>
      <c r="I858" s="7"/>
      <c r="J858" s="7"/>
      <c r="K858" s="7"/>
      <c r="L858" s="5"/>
      <c r="M858" s="5"/>
      <c r="N858" s="5"/>
      <c r="O858" s="5"/>
      <c r="P858" s="5"/>
      <c r="Q858" s="5"/>
      <c r="R858" s="5"/>
      <c r="S858" s="5"/>
      <c r="T858" s="5"/>
      <c r="U858" s="5"/>
      <c r="V858" s="5"/>
      <c r="W858" s="5"/>
      <c r="X858" s="5"/>
      <c r="Y858" s="5"/>
      <c r="Z858" s="5"/>
    </row>
    <row r="859" spans="1:26" ht="15.6" x14ac:dyDescent="0.3">
      <c r="A859" s="19" t="s">
        <v>3</v>
      </c>
      <c r="B859" s="26" t="s">
        <v>864</v>
      </c>
      <c r="C859" s="2" t="str">
        <f ca="1">IFERROR(__xludf.DUMMYFUNCTION("GOOGLETRANSLATE(B859, ""bn"", ""en"")"),"I am not a religious person who prays five times a day, but I am Islamic. I believe in the basic philosophy of Islam. And I also believe that it is good religion and discipline.")</f>
        <v>I am not a religious person who prays five times a day, but I am Islamic. I believe in the basic philosophy of Islam. And I also believe that it is good religion and discipline.</v>
      </c>
      <c r="D859" s="7"/>
      <c r="E859" s="7"/>
      <c r="F859" s="7"/>
      <c r="G859" s="7"/>
      <c r="H859" s="7"/>
      <c r="I859" s="7"/>
      <c r="J859" s="7"/>
      <c r="K859" s="7"/>
      <c r="L859" s="7"/>
      <c r="M859" s="5"/>
      <c r="N859" s="5"/>
      <c r="O859" s="5"/>
      <c r="P859" s="5"/>
      <c r="Q859" s="5"/>
      <c r="R859" s="5"/>
      <c r="S859" s="5"/>
      <c r="T859" s="5"/>
      <c r="U859" s="5"/>
      <c r="V859" s="5"/>
      <c r="W859" s="5"/>
      <c r="X859" s="5"/>
      <c r="Y859" s="5"/>
      <c r="Z859" s="5"/>
    </row>
    <row r="860" spans="1:26" ht="15.6" x14ac:dyDescent="0.3">
      <c r="A860" s="18" t="s">
        <v>5</v>
      </c>
      <c r="B860" s="25" t="s">
        <v>865</v>
      </c>
      <c r="C860" s="2" t="str">
        <f ca="1">IFERROR(__xludf.DUMMYFUNCTION("GOOGLETRANSLATE(B860, ""bn"", ""en"")"),"An estimated 3,000 to 3,500 people died in the incident. However, it is recognized that more than three thousand people were killed in the massacre.")</f>
        <v>An estimated 3,000 to 3,500 people died in the incident. However, it is recognized that more than three thousand people were killed in the massacre.</v>
      </c>
      <c r="D860" s="2"/>
      <c r="E860" s="2"/>
      <c r="F860" s="2"/>
      <c r="G860" s="2"/>
      <c r="H860" s="3"/>
      <c r="I860" s="3"/>
      <c r="J860" s="3"/>
      <c r="K860" s="3"/>
      <c r="L860" s="3"/>
      <c r="M860" s="3"/>
      <c r="N860" s="3"/>
      <c r="O860" s="3"/>
      <c r="P860" s="3"/>
      <c r="Q860" s="3"/>
      <c r="R860" s="3"/>
      <c r="S860" s="3"/>
      <c r="T860" s="3"/>
      <c r="U860" s="3"/>
      <c r="V860" s="3"/>
      <c r="W860" s="3"/>
      <c r="X860" s="3"/>
      <c r="Y860" s="3"/>
      <c r="Z860" s="3"/>
    </row>
    <row r="861" spans="1:26" ht="15.6" x14ac:dyDescent="0.3">
      <c r="A861" s="19" t="s">
        <v>5</v>
      </c>
      <c r="B861" s="26" t="s">
        <v>866</v>
      </c>
      <c r="C861" s="2" t="str">
        <f ca="1">IFERROR(__xludf.DUMMYFUNCTION("GOOGLETRANSLATE(B861, ""bn"", ""en"")"),"Religious restrictions and divisions in some areas of Bangladesh have led to displacement and hindrances in the practice of religion among the Muslim community.")</f>
        <v>Religious restrictions and divisions in some areas of Bangladesh have led to displacement and hindrances in the practice of religion among the Muslim community.</v>
      </c>
      <c r="D861" s="7"/>
      <c r="E861" s="7"/>
      <c r="F861" s="7"/>
      <c r="G861" s="7"/>
      <c r="H861" s="7"/>
      <c r="I861" s="5"/>
      <c r="J861" s="5"/>
      <c r="K861" s="5"/>
      <c r="L861" s="5"/>
      <c r="M861" s="5"/>
      <c r="N861" s="5"/>
      <c r="O861" s="5"/>
      <c r="P861" s="5"/>
      <c r="Q861" s="5"/>
      <c r="R861" s="5"/>
      <c r="S861" s="5"/>
      <c r="T861" s="5"/>
      <c r="U861" s="5"/>
      <c r="V861" s="5"/>
      <c r="W861" s="5"/>
      <c r="X861" s="5"/>
      <c r="Y861" s="5"/>
      <c r="Z861" s="5"/>
    </row>
    <row r="862" spans="1:26" ht="15.6" x14ac:dyDescent="0.3">
      <c r="A862" s="19" t="s">
        <v>23</v>
      </c>
      <c r="B862" s="26" t="s">
        <v>867</v>
      </c>
      <c r="C862" s="2" t="str">
        <f ca="1">IFERROR(__xludf.DUMMYFUNCTION("GOOGLETRANSLATE(B862, ""bn"", ""en"")"),"Indiscriminate and brutal killing and exploitation in the name of religion can never be the ideal of God.")</f>
        <v>Indiscriminate and brutal killing and exploitation in the name of religion can never be the ideal of God.</v>
      </c>
      <c r="D862" s="7"/>
      <c r="E862" s="7"/>
      <c r="F862" s="5"/>
      <c r="G862" s="5"/>
      <c r="H862" s="5"/>
      <c r="I862" s="5"/>
      <c r="J862" s="5"/>
      <c r="K862" s="5"/>
      <c r="L862" s="5"/>
      <c r="M862" s="5"/>
      <c r="N862" s="5"/>
      <c r="O862" s="5"/>
      <c r="P862" s="5"/>
      <c r="Q862" s="5"/>
      <c r="R862" s="5"/>
      <c r="S862" s="5"/>
      <c r="T862" s="5"/>
      <c r="U862" s="5"/>
      <c r="V862" s="5"/>
      <c r="W862" s="5"/>
      <c r="X862" s="5"/>
      <c r="Y862" s="5"/>
      <c r="Z862" s="5"/>
    </row>
    <row r="863" spans="1:26" ht="15.6" x14ac:dyDescent="0.3">
      <c r="A863" s="19" t="s">
        <v>5</v>
      </c>
      <c r="B863" s="26" t="s">
        <v>868</v>
      </c>
      <c r="C863" s="2" t="str">
        <f ca="1">IFERROR(__xludf.DUMMYFUNCTION("GOOGLETRANSLATE(B863, ""bn"", ""en"")"),"In 1987, police and paramilitary forces in Meerut captured and killed Muslim youth in the Hashimpura massacre, killing around 42 people.")</f>
        <v>In 1987, police and paramilitary forces in Meerut captured and killed Muslim youth in the Hashimpura massacre, killing around 42 people.</v>
      </c>
      <c r="D863" s="7"/>
      <c r="E863" s="7"/>
      <c r="F863" s="7"/>
      <c r="G863" s="7"/>
      <c r="H863" s="7"/>
      <c r="I863" s="7"/>
      <c r="J863" s="5"/>
      <c r="K863" s="5"/>
      <c r="L863" s="5"/>
      <c r="M863" s="5"/>
      <c r="N863" s="5"/>
      <c r="O863" s="5"/>
      <c r="P863" s="5"/>
      <c r="Q863" s="5"/>
      <c r="R863" s="5"/>
      <c r="S863" s="5"/>
      <c r="T863" s="5"/>
      <c r="U863" s="5"/>
      <c r="V863" s="5"/>
      <c r="W863" s="5"/>
      <c r="X863" s="5"/>
      <c r="Y863" s="5"/>
      <c r="Z863" s="5"/>
    </row>
    <row r="864" spans="1:26" ht="15.6" x14ac:dyDescent="0.3">
      <c r="A864" s="18" t="s">
        <v>5</v>
      </c>
      <c r="B864" s="24" t="s">
        <v>869</v>
      </c>
      <c r="C864" s="2" t="str">
        <f ca="1">IFERROR(__xludf.DUMMYFUNCTION("GOOGLETRANSLATE(B864, ""bn"", ""en"")"),"39 people were killed in religious riots in Pirojpur. The police tried to control the violence but the situation went out of control. The government ordered to maintain peace and responsibility in favor of religious harmony. Many families leave the villag"&amp;"e due to lack of security.")</f>
        <v>39 people were killed in religious riots in Pirojpur. The police tried to control the violence but the situation went out of control. The government ordered to maintain peace and responsibility in favor of religious harmony. Many families leave the village due to lack of security.</v>
      </c>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6" x14ac:dyDescent="0.3">
      <c r="A865" s="19" t="s">
        <v>3</v>
      </c>
      <c r="B865" s="26" t="s">
        <v>870</v>
      </c>
      <c r="C865" s="2" t="str">
        <f ca="1">IFERROR(__xludf.DUMMYFUNCTION("GOOGLETRANSLATE(B865, ""bn"", ""en"")"),"Judaism and Islam have many similarities. Basically, Jesus Christ and Muhammad (pbuh) are seen separately as prophets, which is why Jews are not Muslims even though they look like Muslims.")</f>
        <v>Judaism and Islam have many similarities. Basically, Jesus Christ and Muhammad (pbuh) are seen separately as prophets, which is why Jews are not Muslims even though they look like Muslims.</v>
      </c>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6" x14ac:dyDescent="0.3">
      <c r="A866" s="18" t="s">
        <v>23</v>
      </c>
      <c r="B866" s="25" t="s">
        <v>871</v>
      </c>
      <c r="C866" s="2" t="str">
        <f ca="1">IFERROR(__xludf.DUMMYFUNCTION("GOOGLETRANSLATE(B866, ""bn"", ""en"")"),"Among the religious conflicts, various types of religious conflicts have arisen between Sunni Wahhabis, Kharejis, Rafejis and followers of various forms of Islam. One side cannot tolerate the other.")</f>
        <v>Among the religious conflicts, various types of religious conflicts have arisen between Sunni Wahhabis, Kharejis, Rafejis and followers of various forms of Islam. One side cannot tolerate the other.</v>
      </c>
      <c r="D866" s="6"/>
      <c r="E866" s="6"/>
      <c r="F866" s="6"/>
      <c r="G866" s="2"/>
      <c r="H866" s="3"/>
      <c r="I866" s="3"/>
      <c r="J866" s="3"/>
      <c r="K866" s="3"/>
      <c r="L866" s="3"/>
      <c r="M866" s="3"/>
      <c r="N866" s="3"/>
      <c r="O866" s="3"/>
      <c r="P866" s="3"/>
      <c r="Q866" s="3"/>
      <c r="R866" s="3"/>
      <c r="S866" s="3"/>
      <c r="T866" s="3"/>
      <c r="U866" s="3"/>
      <c r="V866" s="3"/>
      <c r="W866" s="3"/>
      <c r="X866" s="3"/>
      <c r="Y866" s="3"/>
      <c r="Z866" s="3"/>
    </row>
    <row r="867" spans="1:26" ht="15.6" x14ac:dyDescent="0.3">
      <c r="A867" s="18" t="s">
        <v>3</v>
      </c>
      <c r="B867" s="25" t="s">
        <v>872</v>
      </c>
      <c r="C867" s="2" t="str">
        <f ca="1">IFERROR(__xludf.DUMMYFUNCTION("GOOGLETRANSLATE(B867, ""bn"", ""en"")"),"The Quran is deeply concerned with humanity, presenting itself as a guide for the human race.")</f>
        <v>The Quran is deeply concerned with humanity, presenting itself as a guide for the human race.</v>
      </c>
      <c r="D867" s="2"/>
      <c r="E867" s="2"/>
      <c r="F867" s="2"/>
      <c r="G867" s="2"/>
      <c r="H867" s="3"/>
      <c r="I867" s="3"/>
      <c r="J867" s="3"/>
      <c r="K867" s="3"/>
      <c r="L867" s="3"/>
      <c r="M867" s="3"/>
      <c r="N867" s="3"/>
      <c r="O867" s="3"/>
      <c r="P867" s="3"/>
      <c r="Q867" s="3"/>
      <c r="R867" s="3"/>
      <c r="S867" s="3"/>
      <c r="T867" s="3"/>
      <c r="U867" s="3"/>
      <c r="V867" s="3"/>
      <c r="W867" s="3"/>
      <c r="X867" s="3"/>
      <c r="Y867" s="3"/>
      <c r="Z867" s="3"/>
    </row>
    <row r="868" spans="1:26" ht="15.6" x14ac:dyDescent="0.3">
      <c r="A868" s="18" t="s">
        <v>5</v>
      </c>
      <c r="B868" s="25" t="s">
        <v>873</v>
      </c>
      <c r="C868" s="2" t="str">
        <f ca="1">IFERROR(__xludf.DUMMYFUNCTION("GOOGLETRANSLATE(B868, ""bn"", ""en"")"),"On February 17, Muslims brutally killed 623 Hindus of Golakandail Union in Rupganj, Narayanganj. Muslim thugs looted and burnt Haran Ghosh's house in Ghoshpara, Narsingdi (then part of Narayanganj).")</f>
        <v>On February 17, Muslims brutally killed 623 Hindus of Golakandail Union in Rupganj, Narayanganj. Muslim thugs looted and burnt Haran Ghosh's house in Ghoshpara, Narsingdi (then part of Narayanganj).</v>
      </c>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6" x14ac:dyDescent="0.3">
      <c r="A869" s="19" t="s">
        <v>8</v>
      </c>
      <c r="B869" s="26" t="s">
        <v>874</v>
      </c>
      <c r="C869" s="2" t="str">
        <f ca="1">IFERROR(__xludf.DUMMYFUNCTION("GOOGLETRANSLATE(B869, ""bn"", ""en"")"),"After the Eid prayers in Narail, a group of Muslims threw stones at the houses of other religions.")</f>
        <v>After the Eid prayers in Narail, a group of Muslims threw stones at the houses of other religions.</v>
      </c>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6" x14ac:dyDescent="0.3">
      <c r="A870" s="18" t="s">
        <v>5</v>
      </c>
      <c r="B870" s="24" t="s">
        <v>875</v>
      </c>
      <c r="C870" s="2" t="str">
        <f ca="1">IFERROR(__xludf.DUMMYFUNCTION("GOOGLETRANSLATE(B870, ""bn"", ""en"")"),"In July 2020, a group killed a journalist for expressing religious dissent, leaving 12 dead in protests.")</f>
        <v>In July 2020, a group killed a journalist for expressing religious dissent, leaving 12 dead in protests.</v>
      </c>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6" x14ac:dyDescent="0.3">
      <c r="A871" s="19" t="s">
        <v>3</v>
      </c>
      <c r="B871" s="26" t="s">
        <v>876</v>
      </c>
      <c r="C871" s="2" t="str">
        <f ca="1">IFERROR(__xludf.DUMMYFUNCTION("GOOGLETRANSLATE(B871, ""bn"", ""en"")"),"Allah says that He Himself has created divisions among the human race, but peace and love should be maintained between them, regardless of the difference of religion.")</f>
        <v>Allah says that He Himself has created divisions among the human race, but peace and love should be maintained between them, regardless of the difference of religion.</v>
      </c>
      <c r="D871" s="7"/>
      <c r="E871" s="7"/>
      <c r="F871" s="7"/>
      <c r="G871" s="7"/>
      <c r="H871" s="7"/>
      <c r="I871" s="7"/>
      <c r="J871" s="7"/>
      <c r="K871" s="7"/>
      <c r="L871" s="7"/>
      <c r="M871" s="7"/>
      <c r="N871" s="5"/>
      <c r="O871" s="5"/>
      <c r="P871" s="5"/>
      <c r="Q871" s="5"/>
      <c r="R871" s="5"/>
      <c r="S871" s="5"/>
      <c r="T871" s="5"/>
      <c r="U871" s="5"/>
      <c r="V871" s="5"/>
      <c r="W871" s="5"/>
      <c r="X871" s="5"/>
      <c r="Y871" s="5"/>
      <c r="Z871" s="5"/>
    </row>
    <row r="872" spans="1:26" ht="15.6" x14ac:dyDescent="0.3">
      <c r="A872" s="19" t="s">
        <v>8</v>
      </c>
      <c r="B872" s="26" t="s">
        <v>877</v>
      </c>
      <c r="C872" s="2" t="str">
        <f ca="1">IFERROR(__xludf.DUMMYFUNCTION("GOOGLETRANSLATE(B872, ""bn"", ""en"")"),"Miscreants attacked a Buddhist monastery in Shivganj of Bogra and smashed a wooden Buddha statue.")</f>
        <v>Miscreants attacked a Buddhist monastery in Shivganj of Bogra and smashed a wooden Buddha statue.</v>
      </c>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6" x14ac:dyDescent="0.3">
      <c r="A873" s="18" t="s">
        <v>5</v>
      </c>
      <c r="B873" s="24" t="s">
        <v>878</v>
      </c>
      <c r="C873" s="2" t="str">
        <f ca="1">IFERROR(__xludf.DUMMYFUNCTION("GOOGLETRANSLATE(B873, ""bn"", ""en"")"),"A woman was gang-raped and killed for expressing religious dissent, 14 people were killed in the protest.")</f>
        <v>A woman was gang-raped and killed for expressing religious dissent, 14 people were killed in the protest.</v>
      </c>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6" x14ac:dyDescent="0.3">
      <c r="A874" s="18" t="s">
        <v>8</v>
      </c>
      <c r="B874" s="25" t="s">
        <v>879</v>
      </c>
      <c r="C874" s="2" t="str">
        <f ca="1">IFERROR(__xludf.DUMMYFUNCTION("GOOGLETRANSLATE(B874, ""bn"", ""en"")"),"From noon, people came out of the mosque under the banner of Islamic Janata and started vandalizing the shops, set fire on the streets and went on a rampage protesting against the insult of religion.")</f>
        <v>From noon, people came out of the mosque under the banner of Islamic Janata and started vandalizing the shops, set fire on the streets and went on a rampage protesting against the insult of religion.</v>
      </c>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6" x14ac:dyDescent="0.3">
      <c r="A875" s="19" t="s">
        <v>3</v>
      </c>
      <c r="B875" s="26" t="s">
        <v>880</v>
      </c>
      <c r="C875" s="2" t="str">
        <f ca="1">IFERROR(__xludf.DUMMYFUNCTION("GOOGLETRANSLATE(B875, ""bn"", ""en"")"),"Allah teaches in the Qur'an that kindness should be towards humans as well as animals and birds.")</f>
        <v>Allah teaches in the Qur'an that kindness should be towards humans as well as animals and birds.</v>
      </c>
      <c r="D875" s="7"/>
      <c r="E875" s="5"/>
      <c r="F875" s="5"/>
      <c r="G875" s="5"/>
      <c r="H875" s="5"/>
      <c r="I875" s="5"/>
      <c r="J875" s="5"/>
      <c r="K875" s="5"/>
      <c r="L875" s="5"/>
      <c r="M875" s="5"/>
      <c r="N875" s="5"/>
      <c r="O875" s="5"/>
      <c r="P875" s="5"/>
      <c r="Q875" s="5"/>
      <c r="R875" s="5"/>
      <c r="S875" s="5"/>
      <c r="T875" s="5"/>
      <c r="U875" s="5"/>
      <c r="V875" s="5"/>
      <c r="W875" s="5"/>
      <c r="X875" s="5"/>
      <c r="Y875" s="5"/>
      <c r="Z875" s="5"/>
    </row>
    <row r="876" spans="1:26" ht="15.6" x14ac:dyDescent="0.3">
      <c r="A876" s="18" t="s">
        <v>23</v>
      </c>
      <c r="B876" s="24" t="s">
        <v>881</v>
      </c>
      <c r="C876" s="2" t="str">
        <f ca="1">IFERROR(__xludf.DUMMYFUNCTION("GOOGLETRANSLATE(B876, ""bn"", ""en"")"),"Some people in the Christian community create division in the society in the name of conversion.")</f>
        <v>Some people in the Christian community create division in the society in the name of conversion.</v>
      </c>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6" x14ac:dyDescent="0.3">
      <c r="A877" s="18" t="s">
        <v>23</v>
      </c>
      <c r="B877" s="24" t="s">
        <v>882</v>
      </c>
      <c r="C877" s="2" t="str">
        <f ca="1">IFERROR(__xludf.DUMMYFUNCTION("GOOGLETRANSLATE(B877, ""bn"", ""en"")"),"Some members of the Buddhist community make hate speech against other religions which creates division in the society.")</f>
        <v>Some members of the Buddhist community make hate speech against other religions which creates division in the society.</v>
      </c>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6" x14ac:dyDescent="0.3">
      <c r="A878" s="19" t="s">
        <v>3</v>
      </c>
      <c r="B878" s="26" t="s">
        <v>883</v>
      </c>
      <c r="C878" s="2" t="str">
        <f ca="1">IFERROR(__xludf.DUMMYFUNCTION("GOOGLETRANSLATE(B878, ""bn"", ""en"")"),"All the compassion is not for other religions but also show some helpless Muslims so that they can live in individual freedom.")</f>
        <v>All the compassion is not for other religions but also show some helpless Muslims so that they can live in individual freedom.</v>
      </c>
      <c r="D878" s="7"/>
      <c r="E878" s="7"/>
      <c r="F878" s="7"/>
      <c r="G878" s="7"/>
      <c r="H878" s="5"/>
      <c r="I878" s="5"/>
      <c r="J878" s="5"/>
      <c r="K878" s="5"/>
      <c r="L878" s="5"/>
      <c r="M878" s="5"/>
      <c r="N878" s="5"/>
      <c r="O878" s="5"/>
      <c r="P878" s="5"/>
      <c r="Q878" s="5"/>
      <c r="R878" s="5"/>
      <c r="S878" s="5"/>
      <c r="T878" s="5"/>
      <c r="U878" s="5"/>
      <c r="V878" s="5"/>
      <c r="W878" s="5"/>
      <c r="X878" s="5"/>
      <c r="Y878" s="5"/>
      <c r="Z878" s="5"/>
    </row>
    <row r="879" spans="1:26" ht="15.6" x14ac:dyDescent="0.3">
      <c r="A879" s="18" t="s">
        <v>5</v>
      </c>
      <c r="B879" s="24" t="s">
        <v>884</v>
      </c>
      <c r="C879" s="2" t="str">
        <f ca="1">IFERROR(__xludf.DUMMYFUNCTION("GOOGLETRANSLATE(B879, ""bn"", ""en"")"),"In April 2016, a doctor was hacked to death over religious dissent, killing 11 people.")</f>
        <v>In April 2016, a doctor was hacked to death over religious dissent, killing 11 people.</v>
      </c>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6" x14ac:dyDescent="0.3">
      <c r="A880" s="18" t="s">
        <v>3</v>
      </c>
      <c r="B880" s="25" t="s">
        <v>885</v>
      </c>
      <c r="C880" s="2" t="str">
        <f ca="1">IFERROR(__xludf.DUMMYFUNCTION("GOOGLETRANSLATE(B880, ""bn"", ""en"")"),"The message of Sanatan Dharma is like Amrit. No religion preaches such words. There is no violence and no belittling of any religion. Because it is the creator of all religions.")</f>
        <v>The message of Sanatan Dharma is like Amrit. No religion preaches such words. There is no violence and no belittling of any religion. Because it is the creator of all religions.</v>
      </c>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6" x14ac:dyDescent="0.3">
      <c r="A881" s="18" t="s">
        <v>3</v>
      </c>
      <c r="B881" s="25" t="s">
        <v>886</v>
      </c>
      <c r="C881" s="2" t="str">
        <f ca="1">IFERROR(__xludf.DUMMYFUNCTION("GOOGLETRANSLATE(B881, ""bn"", ""en"")"),"We do not think that anyone's religious sentiments should be hurt. We should have the attitude of religious freedom as everyone has individual freedom")</f>
        <v>We do not think that anyone's religious sentiments should be hurt. We should have the attitude of religious freedom as everyone has individual freedom</v>
      </c>
      <c r="D881" s="2"/>
      <c r="E881" s="2"/>
      <c r="F881" s="2"/>
      <c r="G881" s="2"/>
      <c r="H881" s="3"/>
      <c r="I881" s="3"/>
      <c r="J881" s="3"/>
      <c r="K881" s="3"/>
      <c r="L881" s="3"/>
      <c r="M881" s="3"/>
      <c r="N881" s="3"/>
      <c r="O881" s="3"/>
      <c r="P881" s="3"/>
      <c r="Q881" s="3"/>
      <c r="R881" s="3"/>
      <c r="S881" s="3"/>
      <c r="T881" s="3"/>
      <c r="U881" s="3"/>
      <c r="V881" s="3"/>
      <c r="W881" s="3"/>
      <c r="X881" s="3"/>
      <c r="Y881" s="3"/>
      <c r="Z881" s="3"/>
    </row>
    <row r="882" spans="1:26" ht="15.6" x14ac:dyDescent="0.3">
      <c r="A882" s="18" t="s">
        <v>8</v>
      </c>
      <c r="B882" s="24" t="s">
        <v>887</v>
      </c>
      <c r="C882" s="2" t="str">
        <f ca="1">IFERROR(__xludf.DUMMYFUNCTION("GOOGLETRANSLATE(B882, ""bn"", ""en"")"),"In a Hindu village in Jhalkathi, the idols were cut down at the idol-making site ahead of the autumn Durga Puja.")</f>
        <v>In a Hindu village in Jhalkathi, the idols were cut down at the idol-making site ahead of the autumn Durga Puja.</v>
      </c>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6" x14ac:dyDescent="0.3">
      <c r="A883" s="18" t="s">
        <v>8</v>
      </c>
      <c r="B883" s="24" t="s">
        <v>888</v>
      </c>
      <c r="C883" s="2" t="str">
        <f ca="1">IFERROR(__xludf.DUMMYFUNCTION("GOOGLETRANSLATE(B883, ""bn"", ""en"")"),"An attempt was made to set fire to the exterior of a mosque in Meherpur, locals managed to douse it.")</f>
        <v>An attempt was made to set fire to the exterior of a mosque in Meherpur, locals managed to douse it.</v>
      </c>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6" x14ac:dyDescent="0.3">
      <c r="A884" s="18" t="s">
        <v>3</v>
      </c>
      <c r="B884" s="25" t="s">
        <v>889</v>
      </c>
      <c r="C884" s="2" t="str">
        <f ca="1">IFERROR(__xludf.DUMMYFUNCTION("GOOGLETRANSLATE(B884, ""bn"", ""en"")"),"In the history of Bengal, Hindus and Muslims have never faced each other, although there have been two incidents, which I admit.")</f>
        <v>In the history of Bengal, Hindus and Muslims have never faced each other, although there have been two incidents, which I admit.</v>
      </c>
      <c r="D884" s="2"/>
      <c r="E884" s="2"/>
      <c r="F884" s="2"/>
      <c r="G884" s="2"/>
      <c r="H884" s="3"/>
      <c r="I884" s="3"/>
      <c r="J884" s="3"/>
      <c r="K884" s="3"/>
      <c r="L884" s="3"/>
      <c r="M884" s="3"/>
      <c r="N884" s="3"/>
      <c r="O884" s="3"/>
      <c r="P884" s="3"/>
      <c r="Q884" s="3"/>
      <c r="R884" s="3"/>
      <c r="S884" s="3"/>
      <c r="T884" s="3"/>
      <c r="U884" s="3"/>
      <c r="V884" s="3"/>
      <c r="W884" s="3"/>
      <c r="X884" s="3"/>
      <c r="Y884" s="3"/>
      <c r="Z884" s="3"/>
    </row>
    <row r="885" spans="1:26" ht="15.6" x14ac:dyDescent="0.3">
      <c r="A885" s="18" t="s">
        <v>23</v>
      </c>
      <c r="B885" s="24" t="s">
        <v>890</v>
      </c>
      <c r="C885" s="2" t="str">
        <f ca="1">IFERROR(__xludf.DUMMYFUNCTION("GOOGLETRANSLATE(B885, ""bn"", ""en"")"),"Some people in the Christian community create division in society and destroy religious unity in the name of conversion.")</f>
        <v>Some people in the Christian community create division in society and destroy religious unity in the name of conversion.</v>
      </c>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6" x14ac:dyDescent="0.3">
      <c r="A886" s="19" t="s">
        <v>8</v>
      </c>
      <c r="B886" s="26" t="s">
        <v>891</v>
      </c>
      <c r="C886" s="2" t="str">
        <f ca="1">IFERROR(__xludf.DUMMYFUNCTION("GOOGLETRANSLATE(B886, ""bn"", ""en"")"),"Between April and May 2006, city hall authorities in the country violently demolished several Hindu temples.[41] On April 21, 2006, the Malaimel Sri Selva Kaliamman temple in Kuala Lumpur was reduced to rubble when city hall authorities bulldozed the temp"&amp;"le.")</f>
        <v>Between April and May 2006, city hall authorities in the country violently demolished several Hindu temples.[41] On April 21, 2006, the Malaimel Sri Selva Kaliamman temple in Kuala Lumpur was reduced to rubble when city hall authorities bulldozed the temple.</v>
      </c>
      <c r="D886" s="7"/>
      <c r="E886" s="7"/>
      <c r="F886" s="7"/>
      <c r="G886" s="7"/>
      <c r="H886" s="7"/>
      <c r="I886" s="7"/>
      <c r="J886" s="5"/>
      <c r="K886" s="5"/>
      <c r="L886" s="5"/>
      <c r="M886" s="5"/>
      <c r="N886" s="5"/>
      <c r="O886" s="5"/>
      <c r="P886" s="5"/>
      <c r="Q886" s="5"/>
      <c r="R886" s="5"/>
      <c r="S886" s="5"/>
      <c r="T886" s="5"/>
      <c r="U886" s="5"/>
      <c r="V886" s="5"/>
      <c r="W886" s="5"/>
      <c r="X886" s="5"/>
      <c r="Y886" s="5"/>
      <c r="Z886" s="5"/>
    </row>
    <row r="887" spans="1:26" ht="15.6" x14ac:dyDescent="0.3">
      <c r="A887" s="18" t="s">
        <v>8</v>
      </c>
      <c r="B887" s="25" t="s">
        <v>892</v>
      </c>
      <c r="C887" s="2" t="str">
        <f ca="1">IFERROR(__xludf.DUMMYFUNCTION("GOOGLETRANSLATE(B887, ""bn"", ""en"")"),"The Jamaat-Shibir activists set fire to the houses and haystacks of 12 Hindu farming families on the Jaipurhat-Bogra highway.")</f>
        <v>The Jamaat-Shibir activists set fire to the houses and haystacks of 12 Hindu farming families on the Jaipurhat-Bogra highway.</v>
      </c>
      <c r="D887" s="2"/>
      <c r="E887" s="2"/>
      <c r="F887" s="2"/>
      <c r="G887" s="2"/>
      <c r="H887" s="5"/>
      <c r="I887" s="5"/>
      <c r="J887" s="5"/>
      <c r="K887" s="5"/>
      <c r="L887" s="5"/>
      <c r="M887" s="5"/>
      <c r="N887" s="5"/>
      <c r="O887" s="5"/>
      <c r="P887" s="5"/>
      <c r="Q887" s="5"/>
      <c r="R887" s="5"/>
      <c r="S887" s="5"/>
      <c r="T887" s="5"/>
      <c r="U887" s="5"/>
      <c r="V887" s="5"/>
      <c r="W887" s="5"/>
      <c r="X887" s="5"/>
      <c r="Y887" s="5"/>
      <c r="Z887" s="5"/>
    </row>
    <row r="888" spans="1:26" ht="15.6" x14ac:dyDescent="0.3">
      <c r="A888" s="18" t="s">
        <v>3</v>
      </c>
      <c r="B888" s="24" t="s">
        <v>893</v>
      </c>
      <c r="C888" s="2" t="str">
        <f ca="1">IFERROR(__xludf.DUMMYFUNCTION("GOOGLETRANSLATE(B888, ""bn"", ""en"")"),"Every religion has teachings of giving or kindness, which creates an atmosphere of compassion in the society.")</f>
        <v>Every religion has teachings of giving or kindness, which creates an atmosphere of compassion in the society.</v>
      </c>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6" x14ac:dyDescent="0.3">
      <c r="A889" s="18" t="s">
        <v>3</v>
      </c>
      <c r="B889" s="25" t="s">
        <v>894</v>
      </c>
      <c r="C889" s="2" t="str">
        <f ca="1">IFERROR(__xludf.DUMMYFUNCTION("GOOGLETRANSLATE(B889, ""bn"", ""en"")"),"Some political groups in the world talk about the formation of a state based on religious beliefs, such as Islamic groups in favor of an Islamic state, while some groups talk about protecting the nation or culture.")</f>
        <v>Some political groups in the world talk about the formation of a state based on religious beliefs, such as Islamic groups in favor of an Islamic state, while some groups talk about protecting the nation or culture.</v>
      </c>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6" x14ac:dyDescent="0.3">
      <c r="A890" s="18" t="s">
        <v>23</v>
      </c>
      <c r="B890" s="25" t="s">
        <v>895</v>
      </c>
      <c r="C890" s="2" t="str">
        <f ca="1">IFERROR(__xludf.DUMMYFUNCTION("GOOGLETRANSLATE(B890, ""bn"", ""en"")"),"As Muslims, we will not pray with the Gita in front of the prayer! Similarly, no true Hindu should worship by placing our Quran in front of their idols. They intentionally hurt religious sentiments.")</f>
        <v>As Muslims, we will not pray with the Gita in front of the prayer! Similarly, no true Hindu should worship by placing our Quran in front of their idols. They intentionally hurt religious sentiments.</v>
      </c>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6" x14ac:dyDescent="0.3">
      <c r="A891" s="19" t="s">
        <v>5</v>
      </c>
      <c r="B891" s="26" t="s">
        <v>896</v>
      </c>
      <c r="C891" s="2" t="str">
        <f ca="1">IFERROR(__xludf.DUMMYFUNCTION("GOOGLETRANSLATE(B891, ""bn"", ""en"")"),"About three hundred and twenty-five years ago, Thomas Eikinhead was hanged for denying the existence of the Christian God and questioning the power or authority of the Catholic Church.")</f>
        <v>About three hundred and twenty-five years ago, Thomas Eikinhead was hanged for denying the existence of the Christian God and questioning the power or authority of the Catholic Church.</v>
      </c>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6" x14ac:dyDescent="0.3">
      <c r="A892" s="19" t="s">
        <v>3</v>
      </c>
      <c r="B892" s="26" t="s">
        <v>897</v>
      </c>
      <c r="C892" s="2" t="str">
        <f ca="1">IFERROR(__xludf.DUMMYFUNCTION("GOOGLETRANSLATE(B892, ""bn"", ""en"")"),"The life and teachings of Jesus Christ teach us that steadfast faith and love for God brings true peace in our lives, and that we can be kind and compassionate to one another, so that love and peace can be established in our society.")</f>
        <v>The life and teachings of Jesus Christ teach us that steadfast faith and love for God brings true peace in our lives, and that we can be kind and compassionate to one another, so that love and peace can be established in our society.</v>
      </c>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6" x14ac:dyDescent="0.3">
      <c r="A893" s="18" t="s">
        <v>3</v>
      </c>
      <c r="B893" s="25" t="s">
        <v>898</v>
      </c>
      <c r="C893" s="2" t="str">
        <f ca="1">IFERROR(__xludf.DUMMYFUNCTION("GOOGLETRANSLATE(B893, ""bn"", ""en"")"),"Those who obey Allah's instructions, an environment of truth, justice, peace and love is created in their lives.")</f>
        <v>Those who obey Allah's instructions, an environment of truth, justice, peace and love is created in their lives.</v>
      </c>
      <c r="D893" s="2"/>
      <c r="E893" s="2"/>
      <c r="F893" s="2"/>
      <c r="G893" s="2"/>
      <c r="H893" s="5"/>
      <c r="I893" s="5"/>
      <c r="J893" s="5"/>
      <c r="K893" s="5"/>
      <c r="L893" s="5"/>
      <c r="M893" s="5"/>
      <c r="N893" s="5"/>
      <c r="O893" s="5"/>
      <c r="P893" s="5"/>
      <c r="Q893" s="5"/>
      <c r="R893" s="5"/>
      <c r="S893" s="5"/>
      <c r="T893" s="5"/>
      <c r="U893" s="5"/>
      <c r="V893" s="5"/>
      <c r="W893" s="5"/>
      <c r="X893" s="5"/>
      <c r="Y893" s="5"/>
      <c r="Z893" s="5"/>
    </row>
    <row r="894" spans="1:26" ht="15.6" x14ac:dyDescent="0.3">
      <c r="A894" s="18" t="s">
        <v>23</v>
      </c>
      <c r="B894" s="25" t="s">
        <v>899</v>
      </c>
      <c r="C894" s="2" t="str">
        <f ca="1">IFERROR(__xludf.DUMMYFUNCTION("GOOGLETRANSLATE(B894, ""bn"", ""en"")"),"Another incident of desecration of the Holy Quran has occurred in Jhalkathi. Even though the police assisted in this despicable and hateful act, the local Muslims prevented it.")</f>
        <v>Another incident of desecration of the Holy Quran has occurred in Jhalkathi. Even though the police assisted in this despicable and hateful act, the local Muslims prevented it.</v>
      </c>
      <c r="D894" s="2"/>
      <c r="E894" s="2"/>
      <c r="F894" s="2"/>
      <c r="G894" s="2"/>
      <c r="H894" s="5"/>
      <c r="I894" s="5"/>
      <c r="J894" s="5"/>
      <c r="K894" s="5"/>
      <c r="L894" s="5"/>
      <c r="M894" s="5"/>
      <c r="N894" s="5"/>
      <c r="O894" s="5"/>
      <c r="P894" s="5"/>
      <c r="Q894" s="5"/>
      <c r="R894" s="5"/>
      <c r="S894" s="5"/>
      <c r="T894" s="5"/>
      <c r="U894" s="5"/>
      <c r="V894" s="5"/>
      <c r="W894" s="5"/>
      <c r="X894" s="5"/>
      <c r="Y894" s="5"/>
      <c r="Z894" s="5"/>
    </row>
    <row r="895" spans="1:26" ht="15.6" x14ac:dyDescent="0.3">
      <c r="A895" s="18" t="s">
        <v>5</v>
      </c>
      <c r="B895" s="24" t="s">
        <v>900</v>
      </c>
      <c r="C895" s="2" t="str">
        <f ca="1">IFERROR(__xludf.DUMMYFUNCTION("GOOGLETRANSLATE(B895, ""bn"", ""en"")"),"In January 2019, a blogger was publicly hacked to death by a group of religious fanatics; 20 people were killed in the protest.")</f>
        <v>In January 2019, a blogger was publicly hacked to death by a group of religious fanatics; 20 people were killed in the protest.</v>
      </c>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6" x14ac:dyDescent="0.3">
      <c r="A896" s="18" t="s">
        <v>3</v>
      </c>
      <c r="B896" s="25" t="s">
        <v>901</v>
      </c>
      <c r="C896" s="2" t="str">
        <f ca="1">IFERROR(__xludf.DUMMYFUNCTION("GOOGLETRANSLATE(B896, ""bn"", ""en"")"),"In the teachings of Islam, Allah says that in the Hereafter, every human being will be held accountable for their deeds, and that the righteous will be rewarded.")</f>
        <v>In the teachings of Islam, Allah says that in the Hereafter, every human being will be held accountable for their deeds, and that the righteous will be rewarded.</v>
      </c>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6" x14ac:dyDescent="0.3">
      <c r="A897" s="19" t="s">
        <v>8</v>
      </c>
      <c r="B897" s="26" t="s">
        <v>902</v>
      </c>
      <c r="C897" s="2" t="str">
        <f ca="1">IFERROR(__xludf.DUMMYFUNCTION("GOOGLETRANSLATE(B897, ""bn"", ""en"")"),"Four family worship temples were attacked and idols vandalized in Hindupara village of Damodarpur in Talukkanupur union of Gobindganj upazila of Gaibandhar on the night of Monday, July 4.")</f>
        <v>Four family worship temples were attacked and idols vandalized in Hindupara village of Damodarpur in Talukkanupur union of Gobindganj upazila of Gaibandhar on the night of Monday, July 4.</v>
      </c>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6" x14ac:dyDescent="0.3">
      <c r="A898" s="18" t="s">
        <v>5</v>
      </c>
      <c r="B898" s="25" t="s">
        <v>903</v>
      </c>
      <c r="C898" s="2" t="str">
        <f ca="1">IFERROR(__xludf.DUMMYFUNCTION("GOOGLETRANSLATE(B898, ""bn"", ""en"")"),"An explosion near a mosque killed 31 people, feared a suicide attack, and later revealed the involvement of radical Hindutva groups, a clear sign of religious terrorism.")</f>
        <v>An explosion near a mosque killed 31 people, feared a suicide attack, and later revealed the involvement of radical Hindutva groups, a clear sign of religious terrorism.</v>
      </c>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6" x14ac:dyDescent="0.3">
      <c r="A899" s="18" t="s">
        <v>3</v>
      </c>
      <c r="B899" s="25" t="s">
        <v>904</v>
      </c>
      <c r="C899" s="2" t="str">
        <f ca="1">IFERROR(__xludf.DUMMYFUNCTION("GOOGLETRANSLATE(B899, ""bn"", ""en"")"),"According to the teachings of Dharma, it is very important to be respectful towards each other and have an attitude of compassion towards life.")</f>
        <v>According to the teachings of Dharma, it is very important to be respectful towards each other and have an attitude of compassion towards life.</v>
      </c>
      <c r="D899" s="2"/>
      <c r="E899" s="2"/>
      <c r="F899" s="2"/>
      <c r="G899" s="2"/>
      <c r="H899" s="3"/>
      <c r="I899" s="3"/>
      <c r="J899" s="3"/>
      <c r="K899" s="3"/>
      <c r="L899" s="3"/>
      <c r="M899" s="3"/>
      <c r="N899" s="3"/>
      <c r="O899" s="3"/>
      <c r="P899" s="3"/>
      <c r="Q899" s="3"/>
      <c r="R899" s="3"/>
      <c r="S899" s="3"/>
      <c r="T899" s="3"/>
      <c r="U899" s="3"/>
      <c r="V899" s="3"/>
      <c r="W899" s="3"/>
      <c r="X899" s="3"/>
      <c r="Y899" s="3"/>
      <c r="Z899" s="3"/>
    </row>
    <row r="900" spans="1:26" ht="15.6" x14ac:dyDescent="0.3">
      <c r="A900" s="18" t="s">
        <v>8</v>
      </c>
      <c r="B900" s="24" t="s">
        <v>905</v>
      </c>
      <c r="C900" s="2" t="str">
        <f ca="1">IFERROR(__xludf.DUMMYFUNCTION("GOOGLETRANSLATE(B900, ""bn"", ""en"")"),"A Hindu temple in Narayanganj was entered and idols of deities were smashed and holy places vandalized.")</f>
        <v>A Hindu temple in Narayanganj was entered and idols of deities were smashed and holy places vandalized.</v>
      </c>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6" x14ac:dyDescent="0.3">
      <c r="A901" s="18" t="s">
        <v>5</v>
      </c>
      <c r="B901" s="25" t="s">
        <v>906</v>
      </c>
      <c r="C901" s="2" t="str">
        <f ca="1">IFERROR(__xludf.DUMMYFUNCTION("GOOGLETRANSLATE(B901, ""bn"", ""en"")"),"Between 1954 and 1982, around 10,000 Muslims were killed in Hindu-Muslim communal violence.")</f>
        <v>Between 1954 and 1982, around 10,000 Muslims were killed in Hindu-Muslim communal violence.</v>
      </c>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6" x14ac:dyDescent="0.3">
      <c r="A902" s="19" t="s">
        <v>23</v>
      </c>
      <c r="B902" s="26" t="s">
        <v>907</v>
      </c>
      <c r="C902" s="2" t="str">
        <f ca="1">IFERROR(__xludf.DUMMYFUNCTION("GOOGLETRANSLATE(B902, ""bn"", ""en"")"),"Most of those who tried or did things to harm Muslims throughout the ages were nominal Muslims or hypocrites.")</f>
        <v>Most of those who tried or did things to harm Muslims throughout the ages were nominal Muslims or hypocrites.</v>
      </c>
      <c r="D902" s="7"/>
      <c r="E902" s="7"/>
      <c r="F902" s="7"/>
      <c r="G902" s="7"/>
      <c r="H902" s="5"/>
      <c r="I902" s="5"/>
      <c r="J902" s="5"/>
      <c r="K902" s="5"/>
      <c r="L902" s="5"/>
      <c r="M902" s="5"/>
      <c r="N902" s="5"/>
      <c r="O902" s="5"/>
      <c r="P902" s="5"/>
      <c r="Q902" s="5"/>
      <c r="R902" s="5"/>
      <c r="S902" s="5"/>
      <c r="T902" s="5"/>
      <c r="U902" s="5"/>
      <c r="V902" s="5"/>
      <c r="W902" s="5"/>
      <c r="X902" s="5"/>
      <c r="Y902" s="5"/>
      <c r="Z902" s="5"/>
    </row>
    <row r="903" spans="1:26" ht="15.6" x14ac:dyDescent="0.3">
      <c r="A903" s="18" t="s">
        <v>5</v>
      </c>
      <c r="B903" s="24" t="s">
        <v>908</v>
      </c>
      <c r="C903" s="2" t="str">
        <f ca="1">IFERROR(__xludf.DUMMYFUNCTION("GOOGLETRANSLATE(B903, ""bn"", ""en"")"),"In March 2019, 29 people were killed in clashes during the vandalism of a Hindu community temple; Police firing to control the situation.")</f>
        <v>In March 2019, 29 people were killed in clashes during the vandalism of a Hindu community temple; Police firing to control the situation.</v>
      </c>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6" x14ac:dyDescent="0.3">
      <c r="A904" s="19" t="s">
        <v>3</v>
      </c>
      <c r="B904" s="26" t="s">
        <v>909</v>
      </c>
      <c r="C904" s="2" t="str">
        <f ca="1">IFERROR(__xludf.DUMMYFUNCTION("GOOGLETRANSLATE(B904, ""bn"", ""en"")"),"According to the principles of Islam, modesty and respect are said to be the basis of peaceful coexistence among each other.")</f>
        <v>According to the principles of Islam, modesty and respect are said to be the basis of peaceful coexistence among each other.</v>
      </c>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6" x14ac:dyDescent="0.3">
      <c r="A905" s="18" t="s">
        <v>5</v>
      </c>
      <c r="B905" s="24" t="s">
        <v>910</v>
      </c>
      <c r="C905" s="2" t="str">
        <f ca="1">IFERROR(__xludf.DUMMYFUNCTION("GOOGLETRANSLATE(B905, ""bn"", ""en"")"),"42 people were killed during the clashes in Kushtia. Police worked to quell the violence, but the crowd was overwhelming. Many minority families migrate elsewhere to seek refuge.")</f>
        <v>42 people were killed during the clashes in Kushtia. Police worked to quell the violence, but the crowd was overwhelming. Many minority families migrate elsewhere to seek refuge.</v>
      </c>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6" x14ac:dyDescent="0.3">
      <c r="A906" s="18" t="s">
        <v>23</v>
      </c>
      <c r="B906" s="24" t="s">
        <v>911</v>
      </c>
      <c r="C906" s="2" t="str">
        <f ca="1">IFERROR(__xludf.DUMMYFUNCTION("GOOGLETRANSLATE(B906, ""bn"", ""en"")"),"Some members of the Buddhist community make disparaging remarks towards other religions which creates religious unrest in the society.")</f>
        <v>Some members of the Buddhist community make disparaging remarks towards other religions which creates religious unrest in the society.</v>
      </c>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6" x14ac:dyDescent="0.3">
      <c r="A907" s="18" t="s">
        <v>5</v>
      </c>
      <c r="B907" s="25" t="s">
        <v>912</v>
      </c>
      <c r="C907" s="2" t="str">
        <f ca="1">IFERROR(__xludf.DUMMYFUNCTION("GOOGLETRANSLATE(B907, ""bn"", ""en"")"),"Innocents were attacked in the name of religion spreading rumours, where murders ranged from suicides to rapes, while the ideal of the Prophet was to convey a message of peace and tolerance.")</f>
        <v>Innocents were attacked in the name of religion spreading rumours, where murders ranged from suicides to rapes, while the ideal of the Prophet was to convey a message of peace and tolerance.</v>
      </c>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6" x14ac:dyDescent="0.3">
      <c r="A908" s="18" t="s">
        <v>3</v>
      </c>
      <c r="B908" s="25" t="s">
        <v>913</v>
      </c>
      <c r="C908" s="2" t="str">
        <f ca="1">IFERROR(__xludf.DUMMYFUNCTION("GOOGLETRANSLATE(B908, ""bn"", ""en"")"),"When Hindus and Muslims live peacefully together, they create an open, friendly and peaceful environment that respects their religious identities.")</f>
        <v>When Hindus and Muslims live peacefully together, they create an open, friendly and peaceful environment that respects their religious identities.</v>
      </c>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6" x14ac:dyDescent="0.3">
      <c r="A909" s="18" t="s">
        <v>5</v>
      </c>
      <c r="B909" s="24" t="s">
        <v>914</v>
      </c>
      <c r="C909" s="2" t="str">
        <f ca="1">IFERROR(__xludf.DUMMYFUNCTION("GOOGLETRANSLATE(B909, ""bn"", ""en"")"),"In December 2018, 34 people lost their lives in an attack on a Christian school fueled by religious hatred; Many students were injured.")</f>
        <v>In December 2018, 34 people lost their lives in an attack on a Christian school fueled by religious hatred; Many students were injured.</v>
      </c>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6" x14ac:dyDescent="0.3">
      <c r="A910" s="19" t="s">
        <v>23</v>
      </c>
      <c r="B910" s="26" t="s">
        <v>915</v>
      </c>
      <c r="C910" s="2" t="str">
        <f ca="1">IFERROR(__xludf.DUMMYFUNCTION("GOOGLETRANSLATE(B910, ""bn"", ""en"")"),"There are 72 puja mandaps in this university run by your tax money for only 1,500 Hindu students. A total of 5 Puja Mandaps were held in 5 different campuses of Calcutta University itself. 72 o'clock in DU, seventy two.")</f>
        <v>There are 72 puja mandaps in this university run by your tax money for only 1,500 Hindu students. A total of 5 Puja Mandaps were held in 5 different campuses of Calcutta University itself. 72 o'clock in DU, seventy two.</v>
      </c>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6" x14ac:dyDescent="0.3">
      <c r="A911" s="18" t="s">
        <v>8</v>
      </c>
      <c r="B911" s="24" t="s">
        <v>916</v>
      </c>
      <c r="C911" s="2" t="str">
        <f ca="1">IFERROR(__xludf.DUMMYFUNCTION("GOOGLETRANSLATE(B911, ""bn"", ""en"")"),"During a Hindu family's puja in Tangail, a group of youths from the neighborhood shouted abuse and pelted stones at the mandap.")</f>
        <v>During a Hindu family's puja in Tangail, a group of youths from the neighborhood shouted abuse and pelted stones at the mandap.</v>
      </c>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6" x14ac:dyDescent="0.3">
      <c r="A912" s="18" t="s">
        <v>5</v>
      </c>
      <c r="B912" s="24" t="s">
        <v>917</v>
      </c>
      <c r="C912" s="2" t="str">
        <f ca="1">IFERROR(__xludf.DUMMYFUNCTION("GOOGLETRANSLATE(B912, ""bn"", ""en"")"),"In June 2017, violence against girls in a Christian community left 19 people dead.")</f>
        <v>In June 2017, violence against girls in a Christian community left 19 people dead.</v>
      </c>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6" x14ac:dyDescent="0.3">
      <c r="A913" s="18" t="s">
        <v>23</v>
      </c>
      <c r="B913" s="24" t="s">
        <v>918</v>
      </c>
      <c r="C913" s="2" t="str">
        <f ca="1">IFERROR(__xludf.DUMMYFUNCTION("GOOGLETRANSLATE(B913, ""bn"", ""en"")"),"Some sections of the Hindu community are spreading religious extremism and creating communal unrest in the country.")</f>
        <v>Some sections of the Hindu community are spreading religious extremism and creating communal unrest in the country.</v>
      </c>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6" x14ac:dyDescent="0.3">
      <c r="A914" s="18" t="s">
        <v>8</v>
      </c>
      <c r="B914" s="25" t="s">
        <v>919</v>
      </c>
      <c r="C914" s="2" t="str">
        <f ca="1">IFERROR(__xludf.DUMMYFUNCTION("GOOGLETRANSLATE(B914, ""bn"", ""en"")"),"During the Modi government in 2014-2021, several Muslim and Dalit communities were attacked in the name of cow protection.")</f>
        <v>During the Modi government in 2014-2021, several Muslim and Dalit communities were attacked in the name of cow protection.</v>
      </c>
      <c r="D914" s="7"/>
      <c r="E914" s="5"/>
      <c r="F914" s="5"/>
      <c r="G914" s="5"/>
      <c r="H914" s="5"/>
      <c r="I914" s="5"/>
      <c r="J914" s="5"/>
      <c r="K914" s="5"/>
      <c r="L914" s="5"/>
      <c r="M914" s="5"/>
      <c r="N914" s="5"/>
      <c r="O914" s="5"/>
      <c r="P914" s="5"/>
      <c r="Q914" s="5"/>
      <c r="R914" s="5"/>
      <c r="S914" s="5"/>
      <c r="T914" s="5"/>
      <c r="U914" s="5"/>
      <c r="V914" s="5"/>
      <c r="W914" s="5"/>
      <c r="X914" s="5"/>
      <c r="Y914" s="5"/>
      <c r="Z914" s="5"/>
    </row>
    <row r="915" spans="1:26" ht="15.6" x14ac:dyDescent="0.3">
      <c r="A915" s="19" t="s">
        <v>23</v>
      </c>
      <c r="B915" s="26" t="s">
        <v>920</v>
      </c>
      <c r="C915" s="2" t="str">
        <f ca="1">IFERROR(__xludf.DUMMYFUNCTION("GOOGLETRANSLATE(B915, ""bn"", ""en"")"),"The old law carried a maximum penalty of 10 years in prison for disturbing religious gatherings, trespassing at other religious places, insulting religious beliefs or damaging religious buildings.")</f>
        <v>The old law carried a maximum penalty of 10 years in prison for disturbing religious gatherings, trespassing at other religious places, insulting religious beliefs or damaging religious buildings.</v>
      </c>
      <c r="D915" s="7"/>
      <c r="E915" s="7"/>
      <c r="F915" s="7"/>
      <c r="G915" s="7"/>
      <c r="H915" s="7"/>
      <c r="I915" s="7"/>
      <c r="J915" s="7"/>
      <c r="K915" s="7"/>
      <c r="L915" s="7"/>
      <c r="M915" s="5"/>
      <c r="N915" s="5"/>
      <c r="O915" s="5"/>
      <c r="P915" s="5"/>
      <c r="Q915" s="5"/>
      <c r="R915" s="5"/>
      <c r="S915" s="5"/>
      <c r="T915" s="5"/>
      <c r="U915" s="5"/>
      <c r="V915" s="5"/>
      <c r="W915" s="5"/>
      <c r="X915" s="5"/>
      <c r="Y915" s="5"/>
      <c r="Z915" s="5"/>
    </row>
    <row r="916" spans="1:26" ht="15.6" x14ac:dyDescent="0.3">
      <c r="A916" s="18" t="s">
        <v>3</v>
      </c>
      <c r="B916" s="25" t="s">
        <v>921</v>
      </c>
      <c r="C916" s="2" t="str">
        <f ca="1">IFERROR(__xludf.DUMMYFUNCTION("GOOGLETRANSLATE(B916, ""bn"", ""en"")"),"If Allah had seized them immediately because of human oppression, no animal would have survived on earth. But he gives everyone respite up to a certain time. When that time comes, not a moment sooner or later.")</f>
        <v>If Allah had seized them immediately because of human oppression, no animal would have survived on earth. But he gives everyone respite up to a certain time. When that time comes, not a moment sooner or later.</v>
      </c>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6" x14ac:dyDescent="0.3">
      <c r="A917" s="18" t="s">
        <v>5</v>
      </c>
      <c r="B917" s="24" t="s">
        <v>922</v>
      </c>
      <c r="C917" s="2" t="str">
        <f ca="1">IFERROR(__xludf.DUMMYFUNCTION("GOOGLETRANSLATE(B917, ""bn"", ""en"")"),"In January 2017, a group of religious groups imposed taxes on minorities and burned down their homes, killing 26 people.")</f>
        <v>In January 2017, a group of religious groups imposed taxes on minorities and burned down their homes, killing 26 people.</v>
      </c>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6" x14ac:dyDescent="0.3">
      <c r="A918" s="18" t="s">
        <v>3</v>
      </c>
      <c r="B918" s="25" t="s">
        <v>923</v>
      </c>
      <c r="C918" s="2" t="str">
        <f ca="1">IFERROR(__xludf.DUMMYFUNCTION("GOOGLETRANSLATE(B918, ""bn"", ""en"")"),"Hinduism will survive if worship kirtans and temples are built with devotion. In many places in the history of religion, traces of ancient temples can be found.")</f>
        <v>Hinduism will survive if worship kirtans and temples are built with devotion. In many places in the history of religion, traces of ancient temples can be found.</v>
      </c>
      <c r="D918" s="5"/>
      <c r="E918" s="5"/>
      <c r="F918" s="5"/>
      <c r="G918" s="5"/>
      <c r="H918" s="5"/>
      <c r="I918" s="5"/>
      <c r="J918" s="5"/>
      <c r="K918" s="5"/>
      <c r="L918" s="5"/>
      <c r="M918" s="5"/>
      <c r="N918" s="5"/>
      <c r="O918" s="5"/>
      <c r="P918" s="5"/>
      <c r="Q918" s="5"/>
      <c r="R918" s="5"/>
      <c r="S918" s="5"/>
      <c r="T918" s="5"/>
      <c r="U918" s="5"/>
      <c r="V918" s="5"/>
      <c r="W918" s="5"/>
      <c r="X918" s="5"/>
      <c r="Y918" s="5"/>
      <c r="Z918" s="5"/>
    </row>
    <row r="919" spans="1:26" ht="22.5" customHeight="1" x14ac:dyDescent="0.3">
      <c r="A919" s="18" t="s">
        <v>23</v>
      </c>
      <c r="B919" s="25" t="s">
        <v>924</v>
      </c>
      <c r="C919" s="2" t="str">
        <f ca="1">IFERROR(__xludf.DUMMYFUNCTION("GOOGLETRANSLATE(B919, ""bn"", ""en"")"),"Why do you feel so itchy when the Islamic Education Department organizes an Islamic workshop, the Islamic History and Culture Department organizes a workshop on Islamic topics or the Arabic Department organizes a Quran session?")</f>
        <v>Why do you feel so itchy when the Islamic Education Department organizes an Islamic workshop, the Islamic History and Culture Department organizes a workshop on Islamic topics or the Arabic Department organizes a Quran session?</v>
      </c>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6" x14ac:dyDescent="0.3">
      <c r="A920" s="19" t="s">
        <v>3</v>
      </c>
      <c r="B920" s="26" t="s">
        <v>925</v>
      </c>
      <c r="C920" s="2" t="str">
        <f ca="1">IFERROR(__xludf.DUMMYFUNCTION("GOOGLETRANSLATE(B920, ""bn"", ""en"")"),"""Religion is an important part of our lives, and we can do it more respectfully. So many blessings of Allah in the month of fasting, it's a pleasure to post about them!""")</f>
        <v>"Religion is an important part of our lives, and we can do it more respectfully. So many blessings of Allah in the month of fasting, it's a pleasure to post about them!"</v>
      </c>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6" x14ac:dyDescent="0.3">
      <c r="A921" s="18" t="s">
        <v>3</v>
      </c>
      <c r="B921" s="25" t="s">
        <v>926</v>
      </c>
      <c r="C921" s="2" t="str">
        <f ca="1">IFERROR(__xludf.DUMMYFUNCTION("GOOGLETRANSLATE(B921, ""bn"", ""en"")"),"The only way to get out of all crises is to follow the path of Islam guided by Allah Rabbul Alamin in every aspect of life.")</f>
        <v>The only way to get out of all crises is to follow the path of Islam guided by Allah Rabbul Alamin in every aspect of life.</v>
      </c>
      <c r="D921" s="2"/>
      <c r="E921" s="2"/>
      <c r="F921" s="2"/>
      <c r="G921" s="2"/>
      <c r="H921" s="3"/>
      <c r="I921" s="3"/>
      <c r="J921" s="3"/>
      <c r="K921" s="3"/>
      <c r="L921" s="3"/>
      <c r="M921" s="3"/>
      <c r="N921" s="3"/>
      <c r="O921" s="3"/>
      <c r="P921" s="3"/>
      <c r="Q921" s="3"/>
      <c r="R921" s="3"/>
      <c r="S921" s="3"/>
      <c r="T921" s="3"/>
      <c r="U921" s="3"/>
      <c r="V921" s="3"/>
      <c r="W921" s="3"/>
      <c r="X921" s="3"/>
      <c r="Y921" s="3"/>
      <c r="Z921" s="3"/>
    </row>
    <row r="922" spans="1:26" ht="15.6" x14ac:dyDescent="0.3">
      <c r="A922" s="19" t="s">
        <v>8</v>
      </c>
      <c r="B922" s="26" t="s">
        <v>927</v>
      </c>
      <c r="C922" s="2" t="str">
        <f ca="1">IFERROR(__xludf.DUMMYFUNCTION("GOOGLETRANSLATE(B922, ""bn"", ""en"")"),"The attack was prepared for several days. Sometimes extremists hold rallies. On November 10, 2017, at 3:30 p.m. on Friday, during the Friday prayer, it was said that Islam had been insulted and they should take revenge.")</f>
        <v>The attack was prepared for several days. Sometimes extremists hold rallies. On November 10, 2017, at 3:30 p.m. on Friday, during the Friday prayer, it was said that Islam had been insulted and they should take revenge.</v>
      </c>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6" x14ac:dyDescent="0.3">
      <c r="A923" s="19" t="s">
        <v>8</v>
      </c>
      <c r="B923" s="26" t="s">
        <v>928</v>
      </c>
      <c r="C923" s="2" t="str">
        <f ca="1">IFERROR(__xludf.DUMMYFUNCTION("GOOGLETRANSLATE(B923, ""bn"", ""en"")"),"A state of emergency has been declared in Bangladesh (appropriate place) after attacks on Muslims.")</f>
        <v>A state of emergency has been declared in Bangladesh (appropriate place) after attacks on Muslims.</v>
      </c>
      <c r="D923" s="7"/>
      <c r="E923" s="7"/>
      <c r="F923" s="7"/>
      <c r="G923" s="5"/>
      <c r="H923" s="5"/>
      <c r="I923" s="5"/>
      <c r="J923" s="5"/>
      <c r="K923" s="5"/>
      <c r="L923" s="5"/>
      <c r="M923" s="5"/>
      <c r="N923" s="5"/>
      <c r="O923" s="5"/>
      <c r="P923" s="5"/>
      <c r="Q923" s="5"/>
      <c r="R923" s="5"/>
      <c r="S923" s="5"/>
      <c r="T923" s="5"/>
      <c r="U923" s="5"/>
      <c r="V923" s="5"/>
      <c r="W923" s="5"/>
      <c r="X923" s="5"/>
      <c r="Y923" s="5"/>
      <c r="Z923" s="5"/>
    </row>
    <row r="924" spans="1:26" ht="15.6" x14ac:dyDescent="0.3">
      <c r="A924" s="18" t="s">
        <v>5</v>
      </c>
      <c r="B924" s="24" t="s">
        <v>929</v>
      </c>
      <c r="C924" s="2" t="str">
        <f ca="1">IFERROR(__xludf.DUMMYFUNCTION("GOOGLETRANSLATE(B924, ""bn"", ""en"")"),"In March 2019, a group publicly beheaded a blogger for expressing religious dissent, leaving 15 people dead.")</f>
        <v>In March 2019, a group publicly beheaded a blogger for expressing religious dissent, leaving 15 people dead.</v>
      </c>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6" x14ac:dyDescent="0.3">
      <c r="A925" s="19" t="s">
        <v>3</v>
      </c>
      <c r="B925" s="26" t="s">
        <v>930</v>
      </c>
      <c r="C925" s="2" t="str">
        <f ca="1">IFERROR(__xludf.DUMMYFUNCTION("GOOGLETRANSLATE(B925, ""bn"", ""en"")"),"Forbidding followers of different religions from practicing their religion or insulting their Creator is forbidden in the Quran.")</f>
        <v>Forbidding followers of different religions from practicing their religion or insulting their Creator is forbidden in the Quran.</v>
      </c>
      <c r="D925" s="7"/>
      <c r="E925" s="7"/>
      <c r="F925" s="5"/>
      <c r="G925" s="5"/>
      <c r="H925" s="5"/>
      <c r="I925" s="5"/>
      <c r="J925" s="5"/>
      <c r="K925" s="5"/>
      <c r="L925" s="5"/>
      <c r="M925" s="5"/>
      <c r="N925" s="5"/>
      <c r="O925" s="5"/>
      <c r="P925" s="5"/>
      <c r="Q925" s="5"/>
      <c r="R925" s="5"/>
      <c r="S925" s="5"/>
      <c r="T925" s="5"/>
      <c r="U925" s="5"/>
      <c r="V925" s="5"/>
      <c r="W925" s="5"/>
      <c r="X925" s="5"/>
      <c r="Y925" s="5"/>
      <c r="Z925" s="5"/>
    </row>
    <row r="926" spans="1:26" ht="15.6" x14ac:dyDescent="0.3">
      <c r="A926" s="19" t="s">
        <v>8</v>
      </c>
      <c r="B926" s="26" t="s">
        <v>931</v>
      </c>
      <c r="C926" s="2" t="str">
        <f ca="1">IFERROR(__xludf.DUMMYFUNCTION("GOOGLETRANSLATE(B926, ""bn"", ""en"")"),"Allegations of religious blasphemy against a Hindu youth sparked outrage. Even after his house was spared, houses of distant Hindus were set on fire.")</f>
        <v>Allegations of religious blasphemy against a Hindu youth sparked outrage. Even after his house was spared, houses of distant Hindus were set on fire.</v>
      </c>
      <c r="D926" s="7"/>
      <c r="E926" s="7"/>
      <c r="F926" s="7"/>
      <c r="G926" s="7"/>
      <c r="H926" s="7"/>
      <c r="I926" s="7"/>
      <c r="J926" s="7"/>
      <c r="K926" s="5"/>
      <c r="L926" s="5"/>
      <c r="M926" s="5"/>
      <c r="N926" s="5"/>
      <c r="O926" s="5"/>
      <c r="P926" s="5"/>
      <c r="Q926" s="5"/>
      <c r="R926" s="5"/>
      <c r="S926" s="5"/>
      <c r="T926" s="5"/>
      <c r="U926" s="5"/>
      <c r="V926" s="5"/>
      <c r="W926" s="5"/>
      <c r="X926" s="5"/>
      <c r="Y926" s="5"/>
      <c r="Z926" s="5"/>
    </row>
    <row r="927" spans="1:26" ht="15.6" x14ac:dyDescent="0.3">
      <c r="A927" s="18" t="s">
        <v>8</v>
      </c>
      <c r="B927" s="25" t="s">
        <v>932</v>
      </c>
      <c r="C927" s="2" t="str">
        <f ca="1">IFERROR(__xludf.DUMMYFUNCTION("GOOGLETRANSLATE(B927, ""bn"", ""en"")"),"The attacks that started on the pretext of religious insults at Comilla's pujamandap have spread across Bangladesh in violent attacks on Hindu temples and homes, which have deeply hurt their self-esteem, confidence and security.")</f>
        <v>The attacks that started on the pretext of religious insults at Comilla's pujamandap have spread across Bangladesh in violent attacks on Hindu temples and homes, which have deeply hurt their self-esteem, confidence and security.</v>
      </c>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6" x14ac:dyDescent="0.3">
      <c r="A928" s="18" t="s">
        <v>23</v>
      </c>
      <c r="B928" s="25" t="s">
        <v>933</v>
      </c>
      <c r="C928" s="2" t="str">
        <f ca="1">IFERROR(__xludf.DUMMYFUNCTION("GOOGLETRANSLATE(B928, ""bn"", ""en"")"),"O Allah, protect the Holy Qur'an and destroy them through the Qur'an. Let the people of the whole world see what God can do. You destroy the infidels.")</f>
        <v>O Allah, protect the Holy Qur'an and destroy them through the Qur'an. Let the people of the whole world see what God can do. You destroy the infidels.</v>
      </c>
      <c r="D928" s="2"/>
      <c r="E928" s="2"/>
      <c r="F928" s="2"/>
      <c r="G928" s="2"/>
      <c r="H928" s="3"/>
      <c r="I928" s="3"/>
      <c r="J928" s="3"/>
      <c r="K928" s="3"/>
      <c r="L928" s="3"/>
      <c r="M928" s="3"/>
      <c r="N928" s="3"/>
      <c r="O928" s="3"/>
      <c r="P928" s="3"/>
      <c r="Q928" s="3"/>
      <c r="R928" s="3"/>
      <c r="S928" s="3"/>
      <c r="T928" s="3"/>
      <c r="U928" s="3"/>
      <c r="V928" s="3"/>
      <c r="W928" s="3"/>
      <c r="X928" s="3"/>
      <c r="Y928" s="3"/>
      <c r="Z928" s="3"/>
    </row>
    <row r="929" spans="1:26" ht="15.6" x14ac:dyDescent="0.3">
      <c r="A929" s="18" t="s">
        <v>23</v>
      </c>
      <c r="B929" s="24" t="s">
        <v>934</v>
      </c>
      <c r="C929" s="2" t="str">
        <f ca="1">IFERROR(__xludf.DUMMYFUNCTION("GOOGLETRANSLATE(B929, ""bn"", ""en"")"),"Some individuals in the Christian community have shown religious fanaticism and spread hate campaigns against other religions.")</f>
        <v>Some individuals in the Christian community have shown religious fanaticism and spread hate campaigns against other religions.</v>
      </c>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6" x14ac:dyDescent="0.3">
      <c r="A930" s="18" t="s">
        <v>23</v>
      </c>
      <c r="B930" s="25" t="s">
        <v>935</v>
      </c>
      <c r="C930" s="2" t="str">
        <f ca="1">IFERROR(__xludf.DUMMYFUNCTION("GOOGLETRANSLATE(B930, ""bn"", ""en"")"),"Our religion should be the bright path of our life. Insult in the name of religion, absolute insult to our society.")</f>
        <v>Our religion should be the bright path of our life. Insult in the name of religion, absolute insult to our society.</v>
      </c>
      <c r="D930" s="2"/>
      <c r="E930" s="2"/>
      <c r="F930" s="2"/>
      <c r="G930" s="2"/>
      <c r="H930" s="5"/>
      <c r="I930" s="5"/>
      <c r="J930" s="5"/>
      <c r="K930" s="5"/>
      <c r="L930" s="5"/>
      <c r="M930" s="5"/>
      <c r="N930" s="5"/>
      <c r="O930" s="5"/>
      <c r="P930" s="5"/>
      <c r="Q930" s="5"/>
      <c r="R930" s="5"/>
      <c r="S930" s="5"/>
      <c r="T930" s="5"/>
      <c r="U930" s="5"/>
      <c r="V930" s="5"/>
      <c r="W930" s="5"/>
      <c r="X930" s="5"/>
      <c r="Y930" s="5"/>
      <c r="Z930" s="5"/>
    </row>
    <row r="931" spans="1:26" ht="15.6" x14ac:dyDescent="0.3">
      <c r="A931" s="18" t="s">
        <v>3</v>
      </c>
      <c r="B931" s="25" t="s">
        <v>936</v>
      </c>
      <c r="C931" s="2" t="str">
        <f ca="1">IFERROR(__xludf.DUMMYFUNCTION("GOOGLETRANSLATE(B931, ""bn"", ""en"")"),"Islam and its culture are more of a headache for people of Muslim origin. If Islam is expelled from this country, Muslims are responsible.")</f>
        <v>Islam and its culture are more of a headache for people of Muslim origin. If Islam is expelled from this country, Muslims are responsible.</v>
      </c>
      <c r="D931" s="7"/>
      <c r="E931" s="7"/>
      <c r="F931" s="7"/>
      <c r="G931" s="7"/>
      <c r="H931" s="7"/>
      <c r="I931" s="7"/>
      <c r="J931" s="7"/>
      <c r="K931" s="7"/>
      <c r="L931" s="7"/>
      <c r="M931" s="7"/>
      <c r="N931" s="7"/>
      <c r="O931" s="5"/>
      <c r="P931" s="5"/>
      <c r="Q931" s="5"/>
      <c r="R931" s="5"/>
      <c r="S931" s="5"/>
      <c r="T931" s="5"/>
      <c r="U931" s="5"/>
      <c r="V931" s="5"/>
      <c r="W931" s="5"/>
      <c r="X931" s="5"/>
      <c r="Y931" s="5"/>
      <c r="Z931" s="5"/>
    </row>
    <row r="932" spans="1:26" ht="15.6" x14ac:dyDescent="0.3">
      <c r="A932" s="18" t="s">
        <v>8</v>
      </c>
      <c r="B932" s="25" t="s">
        <v>937</v>
      </c>
      <c r="C932" s="2" t="str">
        <f ca="1">IFERROR(__xludf.DUMMYFUNCTION("GOOGLETRANSLATE(B932, ""bn"", ""en"")"),"Police prevented the rioters from setting fire to another temple. Two Hindu monasteries were set on fire. On March 1 miscreants set fire to a Hindu house in Char Sita area of ​​Ramgati upazila.[18] On May 11, miscreants set fire to a Hindu temple in Ramga"&amp;"nj upazila.")</f>
        <v>Police prevented the rioters from setting fire to another temple. Two Hindu monasteries were set on fire. On March 1 miscreants set fire to a Hindu house in Char Sita area of ​​Ramgati upazila.[18] On May 11, miscreants set fire to a Hindu temple in Ramganj upazila.</v>
      </c>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6" x14ac:dyDescent="0.3">
      <c r="A933" s="18" t="s">
        <v>8</v>
      </c>
      <c r="B933" s="25" t="s">
        <v>938</v>
      </c>
      <c r="C933" s="2" t="str">
        <f ca="1">IFERROR(__xludf.DUMMYFUNCTION("GOOGLETRANSLATE(B933, ""bn"", ""en"")"),"After the brutal massacre of Hindus in Feni town, it spread to the villages of Feni and Chhagalnaya police station areas where mainly the Hindu Nath community lived.")</f>
        <v>After the brutal massacre of Hindus in Feni town, it spread to the villages of Feni and Chhagalnaya police station areas where mainly the Hindu Nath community lived.</v>
      </c>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6" x14ac:dyDescent="0.3">
      <c r="A934" s="18" t="s">
        <v>5</v>
      </c>
      <c r="B934" s="24" t="s">
        <v>939</v>
      </c>
      <c r="C934" s="2" t="str">
        <f ca="1">IFERROR(__xludf.DUMMYFUNCTION("GOOGLETRANSLATE(B934, ""bn"", ""en"")"),"In March 2014, a group attacked religious book distributors and killed 19 people.")</f>
        <v>In March 2014, a group attacked religious book distributors and killed 19 people.</v>
      </c>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6" x14ac:dyDescent="0.3">
      <c r="A935" s="18" t="s">
        <v>3</v>
      </c>
      <c r="B935" s="25" t="s">
        <v>940</v>
      </c>
      <c r="C935" s="2" t="str">
        <f ca="1">IFERROR(__xludf.DUMMYFUNCTION("GOOGLETRANSLATE(B935, ""bn"", ""en"")"),"Islam describes the life after death very clearly. The Angel of Death (Malak ul Maut, also known as Azrael) takes the soul of the deceased out of the body, and is accompanied by other angels. The arrangements for the death of the deceased are determined b"&amp;"ased on the worldly lifestyle of the deceased.")</f>
        <v>Islam describes the life after death very clearly. The Angel of Death (Malak ul Maut, also known as Azrael) takes the soul of the deceased out of the body, and is accompanied by other angels. The arrangements for the death of the deceased are determined based on the worldly lifestyle of the deceased.</v>
      </c>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6" x14ac:dyDescent="0.3">
      <c r="A936" s="18" t="s">
        <v>23</v>
      </c>
      <c r="B936" s="25" t="s">
        <v>941</v>
      </c>
      <c r="C936" s="2" t="str">
        <f ca="1">IFERROR(__xludf.DUMMYFUNCTION("GOOGLETRANSLATE(B936, ""bn"", ""en"")"),"A heartbreaking incident like being fired for talking about the Islamic creed as a Muslim happened in a ninety percent Muslim country!")</f>
        <v>A heartbreaking incident like being fired for talking about the Islamic creed as a Muslim happened in a ninety percent Muslim country!</v>
      </c>
      <c r="D936" s="2"/>
      <c r="E936" s="2"/>
      <c r="F936" s="2"/>
      <c r="G936" s="2"/>
      <c r="H936" s="3"/>
      <c r="I936" s="3"/>
      <c r="J936" s="3"/>
      <c r="K936" s="3"/>
      <c r="L936" s="3"/>
      <c r="M936" s="3"/>
      <c r="N936" s="3"/>
      <c r="O936" s="3"/>
      <c r="P936" s="3"/>
      <c r="Q936" s="3"/>
      <c r="R936" s="3"/>
      <c r="S936" s="3"/>
      <c r="T936" s="3"/>
      <c r="U936" s="3"/>
      <c r="V936" s="3"/>
      <c r="W936" s="3"/>
      <c r="X936" s="3"/>
      <c r="Y936" s="3"/>
      <c r="Z936" s="3"/>
    </row>
    <row r="937" spans="1:26" ht="15.6" x14ac:dyDescent="0.3">
      <c r="A937" s="18" t="s">
        <v>5</v>
      </c>
      <c r="B937" s="24" t="s">
        <v>942</v>
      </c>
      <c r="C937" s="2" t="str">
        <f ca="1">IFERROR(__xludf.DUMMYFUNCTION("GOOGLETRANSLATE(B937, ""bn"", ""en"")"),"In March 2018, a group of religious groups clashed at school; 20 people were killed.")</f>
        <v>In March 2018, a group of religious groups clashed at school; 20 people were killed.</v>
      </c>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6" x14ac:dyDescent="0.3">
      <c r="A938" s="18" t="s">
        <v>8</v>
      </c>
      <c r="B938" s="25" t="s">
        <v>943</v>
      </c>
      <c r="C938" s="2" t="str">
        <f ca="1">IFERROR(__xludf.DUMMYFUNCTION("GOOGLETRANSLATE(B938, ""bn"", ""en"")"),"Note that in all the areas where communal attacks have taken place, Jamaat-Shibir violence has been going on for a long time. If the Jamaat was not involved, this incident would not have happened.")</f>
        <v>Note that in all the areas where communal attacks have taken place, Jamaat-Shibir violence has been going on for a long time. If the Jamaat was not involved, this incident would not have happened.</v>
      </c>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6" x14ac:dyDescent="0.3">
      <c r="A939" s="18" t="s">
        <v>5</v>
      </c>
      <c r="B939" s="25" t="s">
        <v>944</v>
      </c>
      <c r="C939" s="2" t="str">
        <f ca="1">IFERROR(__xludf.DUMMYFUNCTION("GOOGLETRANSLATE(B939, ""bn"", ""en"")"),"Fifty-nine Hindu pilgrims died when a train caught fire, sparking violent communal riots that killed more than a thousand people, mostly Muslims.")</f>
        <v>Fifty-nine Hindu pilgrims died when a train caught fire, sparking violent communal riots that killed more than a thousand people, mostly Muslims.</v>
      </c>
      <c r="D939" s="2"/>
      <c r="E939" s="2"/>
      <c r="F939" s="2"/>
      <c r="G939" s="2"/>
      <c r="H939" s="5"/>
      <c r="I939" s="5"/>
      <c r="J939" s="5"/>
      <c r="K939" s="5"/>
      <c r="L939" s="5"/>
      <c r="M939" s="5"/>
      <c r="N939" s="5"/>
      <c r="O939" s="5"/>
      <c r="P939" s="5"/>
      <c r="Q939" s="5"/>
      <c r="R939" s="5"/>
      <c r="S939" s="5"/>
      <c r="T939" s="5"/>
      <c r="U939" s="5"/>
      <c r="V939" s="5"/>
      <c r="W939" s="5"/>
      <c r="X939" s="5"/>
      <c r="Y939" s="5"/>
      <c r="Z939" s="5"/>
    </row>
    <row r="940" spans="1:26" ht="15.6" x14ac:dyDescent="0.3">
      <c r="A940" s="18" t="s">
        <v>3</v>
      </c>
      <c r="B940" s="25" t="s">
        <v>945</v>
      </c>
      <c r="C940" s="2" t="str">
        <f ca="1">IFERROR(__xludf.DUMMYFUNCTION("GOOGLETRANSLATE(B940, ""bn"", ""en"")"),"In the introduction to Lady Evelyn's autobiography, historian William Facey wrote, ""Most Muslim converts were attracted to the spiritual side of the religion.""")</f>
        <v>In the introduction to Lady Evelyn's autobiography, historian William Facey wrote, "Most Muslim converts were attracted to the spiritual side of the religion."</v>
      </c>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6" x14ac:dyDescent="0.3">
      <c r="A941" s="19" t="s">
        <v>23</v>
      </c>
      <c r="B941" s="26" t="s">
        <v>946</v>
      </c>
      <c r="C941" s="2" t="str">
        <f ca="1">IFERROR(__xludf.DUMMYFUNCTION("GOOGLETRANSLATE(B941, ""bn"", ""en"")"),"It is the word of Almighty God Quran. Those who burn it will not escape Allah's punishment. Many great pharaohs also ended. May Allah guide us and keep our faith strong.")</f>
        <v>It is the word of Almighty God Quran. Those who burn it will not escape Allah's punishment. Many great pharaohs also ended. May Allah guide us and keep our faith strong.</v>
      </c>
      <c r="D941" s="7"/>
      <c r="E941" s="7"/>
      <c r="F941" s="7"/>
      <c r="G941" s="7"/>
      <c r="H941" s="7"/>
      <c r="I941" s="7"/>
      <c r="J941" s="7"/>
      <c r="K941" s="7"/>
      <c r="L941" s="7"/>
      <c r="M941" s="7"/>
      <c r="N941" s="7"/>
      <c r="O941" s="7"/>
      <c r="P941" s="5"/>
      <c r="Q941" s="5"/>
      <c r="R941" s="5"/>
      <c r="S941" s="5"/>
      <c r="T941" s="5"/>
      <c r="U941" s="5"/>
      <c r="V941" s="5"/>
      <c r="W941" s="5"/>
      <c r="X941" s="5"/>
      <c r="Y941" s="5"/>
      <c r="Z941" s="5"/>
    </row>
    <row r="942" spans="1:26" ht="15.6" x14ac:dyDescent="0.3">
      <c r="A942" s="18" t="s">
        <v>5</v>
      </c>
      <c r="B942" s="24" t="s">
        <v>947</v>
      </c>
      <c r="C942" s="2" t="str">
        <f ca="1">IFERROR(__xludf.DUMMYFUNCTION("GOOGLETRANSLATE(B942, ""bn"", ""en"")"),"A social worker was killed, 10 injured in religious hatred.")</f>
        <v>A social worker was killed, 10 injured in religious hatred.</v>
      </c>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6" x14ac:dyDescent="0.3">
      <c r="A943" s="18" t="s">
        <v>5</v>
      </c>
      <c r="B943" s="25" t="s">
        <v>948</v>
      </c>
      <c r="C943" s="2" t="str">
        <f ca="1">IFERROR(__xludf.DUMMYFUNCTION("GOOGLETRANSLATE(B943, ""bn"", ""en"")"),"In the presence of the police, the Muslims ransacked the jewelery shops owned by Hindus. 50,000 Hindus were displaced in just seven hours of horrific killing, looting and arson.")</f>
        <v>In the presence of the police, the Muslims ransacked the jewelery shops owned by Hindus. 50,000 Hindus were displaced in just seven hours of horrific killing, looting and arson.</v>
      </c>
      <c r="D943" s="2"/>
      <c r="E943" s="2"/>
      <c r="F943" s="2"/>
      <c r="G943" s="2"/>
      <c r="H943" s="5"/>
      <c r="I943" s="5"/>
      <c r="J943" s="5"/>
      <c r="K943" s="5"/>
      <c r="L943" s="5"/>
      <c r="M943" s="5"/>
      <c r="N943" s="5"/>
      <c r="O943" s="5"/>
      <c r="P943" s="5"/>
      <c r="Q943" s="5"/>
      <c r="R943" s="5"/>
      <c r="S943" s="5"/>
      <c r="T943" s="5"/>
      <c r="U943" s="5"/>
      <c r="V943" s="5"/>
      <c r="W943" s="5"/>
      <c r="X943" s="5"/>
      <c r="Y943" s="5"/>
      <c r="Z943" s="5"/>
    </row>
    <row r="944" spans="1:26" ht="15.6" x14ac:dyDescent="0.3">
      <c r="A944" s="18" t="s">
        <v>5</v>
      </c>
      <c r="B944" s="24" t="s">
        <v>949</v>
      </c>
      <c r="C944" s="2" t="str">
        <f ca="1">IFERROR(__xludf.DUMMYFUNCTION("GOOGLETRANSLATE(B944, ""bn"", ""en"")"),"47 people lost their lives in clashes due to religious extremism in Kurigram. The police tried to control the situation but the violence did not stop. The government urges everyone to maintain religious tolerance and responsibility. Many minority families"&amp;" fled the village for safety.")</f>
        <v>47 people lost their lives in clashes due to religious extremism in Kurigram. The police tried to control the situation but the violence did not stop. The government urges everyone to maintain religious tolerance and responsibility. Many minority families fled the village for safety.</v>
      </c>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6" x14ac:dyDescent="0.3">
      <c r="A945" s="18" t="s">
        <v>3</v>
      </c>
      <c r="B945" s="25" t="s">
        <v>950</v>
      </c>
      <c r="C945" s="2" t="str">
        <f ca="1">IFERROR(__xludf.DUMMYFUNCTION("GOOGLETRANSLATE(B945, ""bn"", ""en"")"),"The idea of ​​secularism in Bangladesh is not always true now; Communalism is increasing and non-communalism is decreasing. Therefore, the state and society must take active initiatives to prevent this communalism.")</f>
        <v>The idea of ​​secularism in Bangladesh is not always true now; Communalism is increasing and non-communalism is decreasing. Therefore, the state and society must take active initiatives to prevent this communalism.</v>
      </c>
      <c r="D945" s="2"/>
      <c r="E945" s="2"/>
      <c r="F945" s="2"/>
      <c r="G945" s="2"/>
      <c r="H945" s="3"/>
      <c r="I945" s="3"/>
      <c r="J945" s="3"/>
      <c r="K945" s="3"/>
      <c r="L945" s="3"/>
      <c r="M945" s="3"/>
      <c r="N945" s="3"/>
      <c r="O945" s="3"/>
      <c r="P945" s="3"/>
      <c r="Q945" s="3"/>
      <c r="R945" s="3"/>
      <c r="S945" s="3"/>
      <c r="T945" s="3"/>
      <c r="U945" s="3"/>
      <c r="V945" s="3"/>
      <c r="W945" s="3"/>
      <c r="X945" s="3"/>
      <c r="Y945" s="3"/>
      <c r="Z945" s="3"/>
    </row>
    <row r="946" spans="1:26" ht="15.6" x14ac:dyDescent="0.3">
      <c r="A946" s="18" t="s">
        <v>5</v>
      </c>
      <c r="B946" s="24" t="s">
        <v>951</v>
      </c>
      <c r="C946" s="2" t="str">
        <f ca="1">IFERROR(__xludf.DUMMYFUNCTION("GOOGLETRANSLATE(B946, ""bn"", ""en"")"),"30 killed in sectarian violence in Jhalkathi; Many houses were burnt down.")</f>
        <v>30 killed in sectarian violence in Jhalkathi; Many houses were burnt down.</v>
      </c>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6" x14ac:dyDescent="0.3">
      <c r="A947" s="18" t="s">
        <v>8</v>
      </c>
      <c r="B947" s="25" t="s">
        <v>952</v>
      </c>
      <c r="C947" s="2" t="str">
        <f ca="1">IFERROR(__xludf.DUMMYFUNCTION("GOOGLETRANSLATE(B947, ""bn"", ""en"")"),"I don't think this is biased behavior by the BBC. Here the people of a religious community have been subjected to indiscriminate violence, their houses and temples have been set on fire. They are victims. And those who committed violence, or lost their li"&amp;"ves in the process of being stopped by the police, are the attackers.")</f>
        <v>I don't think this is biased behavior by the BBC. Here the people of a religious community have been subjected to indiscriminate violence, their houses and temples have been set on fire. They are victims. And those who committed violence, or lost their lives in the process of being stopped by the police, are the attackers.</v>
      </c>
      <c r="D947" s="2"/>
      <c r="E947" s="2"/>
      <c r="F947" s="2"/>
      <c r="G947" s="2"/>
      <c r="H947" s="3"/>
      <c r="I947" s="3"/>
      <c r="J947" s="3"/>
      <c r="K947" s="3"/>
      <c r="L947" s="3"/>
      <c r="M947" s="3"/>
      <c r="N947" s="3"/>
      <c r="O947" s="3"/>
      <c r="P947" s="3"/>
      <c r="Q947" s="3"/>
      <c r="R947" s="3"/>
      <c r="S947" s="3"/>
      <c r="T947" s="3"/>
      <c r="U947" s="3"/>
      <c r="V947" s="3"/>
      <c r="W947" s="3"/>
      <c r="X947" s="3"/>
      <c r="Y947" s="3"/>
      <c r="Z947" s="3"/>
    </row>
    <row r="948" spans="1:26" ht="15.6" x14ac:dyDescent="0.3">
      <c r="A948" s="18" t="s">
        <v>3</v>
      </c>
      <c r="B948" s="25" t="s">
        <v>953</v>
      </c>
      <c r="C948" s="2" t="str">
        <f ca="1">IFERROR(__xludf.DUMMYFUNCTION("GOOGLETRANSLATE(B948, ""bn"", ""en"")"),"Thank you very much for discussing the Qur'an from the past to the present. May Allah bless you with many blessings, Ameen.")</f>
        <v>Thank you very much for discussing the Qur'an from the past to the present. May Allah bless you with many blessings, Ameen.</v>
      </c>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6" x14ac:dyDescent="0.3">
      <c r="A949" s="18" t="s">
        <v>5</v>
      </c>
      <c r="B949" s="24" t="s">
        <v>954</v>
      </c>
      <c r="C949" s="2" t="str">
        <f ca="1">IFERROR(__xludf.DUMMYFUNCTION("GOOGLETRANSLATE(B949, ""bn"", ""en"")"),"A youth was beaten to death by a religious group in Natore for distributing religious books; 21 people were killed in the violence.")</f>
        <v>A youth was beaten to death by a religious group in Natore for distributing religious books; 21 people were killed in the violence.</v>
      </c>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6" x14ac:dyDescent="0.3">
      <c r="A950" s="19" t="s">
        <v>8</v>
      </c>
      <c r="B950" s="26" t="s">
        <v>955</v>
      </c>
      <c r="C950" s="2" t="str">
        <f ca="1">IFERROR(__xludf.DUMMYFUNCTION("GOOGLETRANSLATE(B950, ""bn"", ""en"")"),"In 2021, idols were vandalized in this temple as well, locals said. Hindu Buddhist Christian Unity Council of the country has condemned the incident.")</f>
        <v>In 2021, idols were vandalized in this temple as well, locals said. Hindu Buddhist Christian Unity Council of the country has condemned the incident.</v>
      </c>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6" x14ac:dyDescent="0.3">
      <c r="A951" s="18" t="s">
        <v>5</v>
      </c>
      <c r="B951" s="24" t="s">
        <v>956</v>
      </c>
      <c r="C951" s="2" t="str">
        <f ca="1">IFERROR(__xludf.DUMMYFUNCTION("GOOGLETRANSLATE(B951, ""bn"", ""en"")"),"At least 29 people were killed in Hindu-Muslim clashes in Bogra. Security forces failed to control the situation and the situation remained volatile.")</f>
        <v>At least 29 people were killed in Hindu-Muslim clashes in Bogra. Security forces failed to control the situation and the situation remained volatile.</v>
      </c>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6" x14ac:dyDescent="0.3">
      <c r="A952" s="18" t="s">
        <v>23</v>
      </c>
      <c r="B952" s="24" t="s">
        <v>957</v>
      </c>
      <c r="C952" s="2" t="str">
        <f ca="1">IFERROR(__xludf.DUMMYFUNCTION("GOOGLETRANSLATE(B952, ""bn"", ""en"")"),"A section of the Muslim community belittles other religions in a way that is increasing intolerance in the society and may lead to major conflicts in the future.")</f>
        <v>A section of the Muslim community belittles other religions in a way that is increasing intolerance in the society and may lead to major conflicts in the future.</v>
      </c>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6" x14ac:dyDescent="0.3">
      <c r="A953" s="18" t="s">
        <v>5</v>
      </c>
      <c r="B953" s="25" t="s">
        <v>958</v>
      </c>
      <c r="C953" s="2" t="str">
        <f ca="1">IFERROR(__xludf.DUMMYFUNCTION("GOOGLETRANSLATE(B953, ""bn"", ""en"")"),"30 people were taken to Wapda Dam south of Suryamani village. They were drawn up in a line and fired by the Razakars. 24 Bengali Hindus died on the spot. Six of them miraculously escaped from bullet wounds.")</f>
        <v>30 people were taken to Wapda Dam south of Suryamani village. They were drawn up in a line and fired by the Razakars. 24 Bengali Hindus died on the spot. Six of them miraculously escaped from bullet wounds.</v>
      </c>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6" x14ac:dyDescent="0.3">
      <c r="A954" s="19" t="s">
        <v>3</v>
      </c>
      <c r="B954" s="26" t="s">
        <v>959</v>
      </c>
      <c r="C954" s="2" t="str">
        <f ca="1">IFERROR(__xludf.DUMMYFUNCTION("GOOGLETRANSLATE(B954, ""bn"", ""en"")"),"Islam teaches unity, brotherhood, sincerity and love, which are important for the welfare of humanity.")</f>
        <v>Islam teaches unity, brotherhood, sincerity and love, which are important for the welfare of humanity.</v>
      </c>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6" x14ac:dyDescent="0.3">
      <c r="A955" s="19" t="s">
        <v>3</v>
      </c>
      <c r="B955" s="26" t="s">
        <v>960</v>
      </c>
      <c r="C955" s="2" t="str">
        <f ca="1">IFERROR(__xludf.DUMMYFUNCTION("GOOGLETRANSLATE(B955, ""bn"", ""en"")"),"According to the Bible, he gave the greatest encouragement to the disciples of Jesus to spread the message of the Messiah or Savior throughout the world.")</f>
        <v>According to the Bible, he gave the greatest encouragement to the disciples of Jesus to spread the message of the Messiah or Savior throughout the world.</v>
      </c>
      <c r="D955" s="7"/>
      <c r="E955" s="7"/>
      <c r="F955" s="7"/>
      <c r="G955" s="7"/>
      <c r="H955" s="7"/>
      <c r="I955" s="7"/>
      <c r="J955" s="5"/>
      <c r="K955" s="5"/>
      <c r="L955" s="5"/>
      <c r="M955" s="5"/>
      <c r="N955" s="5"/>
      <c r="O955" s="5"/>
      <c r="P955" s="5"/>
      <c r="Q955" s="5"/>
      <c r="R955" s="5"/>
      <c r="S955" s="5"/>
      <c r="T955" s="5"/>
      <c r="U955" s="5"/>
      <c r="V955" s="5"/>
      <c r="W955" s="5"/>
      <c r="X955" s="5"/>
      <c r="Y955" s="5"/>
      <c r="Z955" s="5"/>
    </row>
    <row r="956" spans="1:26" ht="15.6" x14ac:dyDescent="0.3">
      <c r="A956" s="19" t="s">
        <v>8</v>
      </c>
      <c r="B956" s="26" t="s">
        <v>961</v>
      </c>
      <c r="C956" s="2" t="str">
        <f ca="1">IFERROR(__xludf.DUMMYFUNCTION("GOOGLETRANSLATE(B956, ""bn"", ""en"")"),"There is very little precedent for identifying those involved in these attacks and taking legal action against them. And that's why they think that idol vandalism happens every year in different parts of the country.")</f>
        <v>There is very little precedent for identifying those involved in these attacks and taking legal action against them. And that's why they think that idol vandalism happens every year in different parts of the country.</v>
      </c>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6" x14ac:dyDescent="0.3">
      <c r="A957" s="18" t="s">
        <v>8</v>
      </c>
      <c r="B957" s="25" t="s">
        <v>962</v>
      </c>
      <c r="C957" s="2" t="str">
        <f ca="1">IFERROR(__xludf.DUMMYFUNCTION("GOOGLETRANSLATE(B957, ""bn"", ""en"")"),"20 Hindu shops were also attacked and looted and vandalized. The attack lasted from evening to 8 pm. Traffic and shops stopped on the trunk road. 29 people were injured in this incident.")</f>
        <v>20 Hindu shops were also attacked and looted and vandalized. The attack lasted from evening to 8 pm. Traffic and shops stopped on the trunk road. 29 people were injured in this incident.</v>
      </c>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6" x14ac:dyDescent="0.3">
      <c r="A958" s="19" t="s">
        <v>5</v>
      </c>
      <c r="B958" s="26" t="s">
        <v>963</v>
      </c>
      <c r="C958" s="2" t="str">
        <f ca="1">IFERROR(__xludf.DUMMYFUNCTION("GOOGLETRANSLATE(B958, ""bn"", ""en"")"),"On January 14, after brutally killing Gostha Bihari Saha, a well-known businessman of Narayanganj, Muslims looted his famous 'Satyasadhan printing press' and set it on fire. [16] They brutally killed a housewife named Renubala Pain with two nursing childr"&amp;"en of Panchsar village (in present day Munshiganj district).")</f>
        <v>On January 14, after brutally killing Gostha Bihari Saha, a well-known businessman of Narayanganj, Muslims looted his famous 'Satyasadhan printing press' and set it on fire. [16] They brutally killed a housewife named Renubala Pain with two nursing children of Panchsar village (in present day Munshiganj district).</v>
      </c>
      <c r="D958" s="7"/>
      <c r="E958" s="7"/>
      <c r="F958" s="7"/>
      <c r="G958" s="7"/>
      <c r="H958" s="7"/>
      <c r="I958" s="7"/>
      <c r="J958" s="7"/>
      <c r="K958" s="5"/>
      <c r="L958" s="5"/>
      <c r="M958" s="5"/>
      <c r="N958" s="5"/>
      <c r="O958" s="5"/>
      <c r="P958" s="5"/>
      <c r="Q958" s="5"/>
      <c r="R958" s="5"/>
      <c r="S958" s="5"/>
      <c r="T958" s="5"/>
      <c r="U958" s="5"/>
      <c r="V958" s="5"/>
      <c r="W958" s="5"/>
      <c r="X958" s="5"/>
      <c r="Y958" s="5"/>
      <c r="Z958" s="5"/>
    </row>
    <row r="959" spans="1:26" ht="15.6" x14ac:dyDescent="0.3">
      <c r="A959" s="18" t="s">
        <v>8</v>
      </c>
      <c r="B959" s="25" t="s">
        <v>964</v>
      </c>
      <c r="C959" s="2" t="str">
        <f ca="1">IFERROR(__xludf.DUMMYFUNCTION("GOOGLETRANSLATE(B959, ""bn"", ""en"")"),"Vijaya attacked the universal Durga temple and the ISKCON temple from all sides. At that time, when Jatan Saha went to the gate of the temple along with the people of the ISKCON temple, the attackers beat him and broke his leg. After applying ice on the i"&amp;"njured leg, when Jatan Saha came out of the house, the attackers beat him again and injured him. An ambulance could not be called to take Jatan to the hospital. He was first taken to Rabeya Hospital near the ISKCON temple.")</f>
        <v>Vijaya attacked the universal Durga temple and the ISKCON temple from all sides. At that time, when Jatan Saha went to the gate of the temple along with the people of the ISKCON temple, the attackers beat him and broke his leg. After applying ice on the injured leg, when Jatan Saha came out of the house, the attackers beat him again and injured him. An ambulance could not be called to take Jatan to the hospital. He was first taken to Rabeya Hospital near the ISKCON temple.</v>
      </c>
      <c r="D959" s="2"/>
      <c r="E959" s="2"/>
      <c r="F959" s="2"/>
      <c r="G959" s="2"/>
      <c r="H959" s="3"/>
      <c r="I959" s="3"/>
      <c r="J959" s="3"/>
      <c r="K959" s="3"/>
      <c r="L959" s="3"/>
      <c r="M959" s="3"/>
      <c r="N959" s="3"/>
      <c r="O959" s="3"/>
      <c r="P959" s="3"/>
      <c r="Q959" s="3"/>
      <c r="R959" s="3"/>
      <c r="S959" s="3"/>
      <c r="T959" s="3"/>
      <c r="U959" s="3"/>
      <c r="V959" s="3"/>
      <c r="W959" s="3"/>
      <c r="X959" s="3"/>
      <c r="Y959" s="3"/>
      <c r="Z959" s="3"/>
    </row>
    <row r="960" spans="1:26" ht="15.6" x14ac:dyDescent="0.3">
      <c r="A960" s="18" t="s">
        <v>3</v>
      </c>
      <c r="B960" s="25" t="s">
        <v>965</v>
      </c>
      <c r="C960" s="2" t="str">
        <f ca="1">IFERROR(__xludf.DUMMYFUNCTION("GOOGLETRANSLATE(B960, ""bn"", ""en"")"),"Every day 5,000 to 6,000 Arta Hindus would gather in front of Kurigram District Commissioner's office hoping for God's help and blessings.")</f>
        <v>Every day 5,000 to 6,000 Arta Hindus would gather in front of Kurigram District Commissioner's office hoping for God's help and blessings.</v>
      </c>
      <c r="D960" s="2"/>
      <c r="E960" s="2"/>
      <c r="F960" s="2"/>
      <c r="G960" s="2"/>
      <c r="H960" s="5"/>
      <c r="I960" s="5"/>
      <c r="J960" s="5"/>
      <c r="K960" s="5"/>
      <c r="L960" s="5"/>
      <c r="M960" s="5"/>
      <c r="N960" s="5"/>
      <c r="O960" s="5"/>
      <c r="P960" s="5"/>
      <c r="Q960" s="5"/>
      <c r="R960" s="5"/>
      <c r="S960" s="5"/>
      <c r="T960" s="5"/>
      <c r="U960" s="5"/>
      <c r="V960" s="5"/>
      <c r="W960" s="5"/>
      <c r="X960" s="5"/>
      <c r="Y960" s="5"/>
      <c r="Z960" s="5"/>
    </row>
    <row r="961" spans="1:26" ht="15.6" x14ac:dyDescent="0.3">
      <c r="A961" s="19" t="s">
        <v>3</v>
      </c>
      <c r="B961" s="26" t="s">
        <v>966</v>
      </c>
      <c r="C961" s="2" t="str">
        <f ca="1">IFERROR(__xludf.DUMMYFUNCTION("GOOGLETRANSLATE(B961, ""bn"", ""en"")"),"Trenches are won through patience and counsel; The Prophet (PBUH) dug the trench on the tactful advice of Salman Farsi (RA).")</f>
        <v>Trenches are won through patience and counsel; The Prophet (PBUH) dug the trench on the tactful advice of Salman Farsi (RA).</v>
      </c>
      <c r="D961" s="7"/>
      <c r="E961" s="7"/>
      <c r="F961" s="7"/>
      <c r="G961" s="7"/>
      <c r="H961" s="7"/>
      <c r="I961" s="5"/>
      <c r="J961" s="5"/>
      <c r="K961" s="5"/>
      <c r="L961" s="5"/>
      <c r="M961" s="5"/>
      <c r="N961" s="5"/>
      <c r="O961" s="5"/>
      <c r="P961" s="5"/>
      <c r="Q961" s="5"/>
      <c r="R961" s="5"/>
      <c r="S961" s="5"/>
      <c r="T961" s="5"/>
      <c r="U961" s="5"/>
      <c r="V961" s="5"/>
      <c r="W961" s="5"/>
      <c r="X961" s="5"/>
      <c r="Y961" s="5"/>
      <c r="Z961" s="5"/>
    </row>
    <row r="962" spans="1:26" ht="15.6" x14ac:dyDescent="0.3">
      <c r="A962" s="18" t="s">
        <v>3</v>
      </c>
      <c r="B962" s="25" t="s">
        <v>967</v>
      </c>
      <c r="C962" s="2" t="str">
        <f ca="1">IFERROR(__xludf.DUMMYFUNCTION("GOOGLETRANSLATE(B962, ""bn"", ""en"")"),"Religion enables man to realize the deeper meaning and purpose of life, which makes him truly happy.")</f>
        <v>Religion enables man to realize the deeper meaning and purpose of life, which makes him truly happy.</v>
      </c>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6" x14ac:dyDescent="0.3">
      <c r="A963" s="19" t="s">
        <v>23</v>
      </c>
      <c r="B963" s="26" t="s">
        <v>968</v>
      </c>
      <c r="C963" s="2" t="str">
        <f ca="1">IFERROR(__xludf.DUMMYFUNCTION("GOOGLETRANSLATE(B963, ""bn"", ""en"")"),"After a few days, obscenity may be accepted as personal freedom, which is absolutely haram.")</f>
        <v>After a few days, obscenity may be accepted as personal freedom, which is absolutely haram.</v>
      </c>
      <c r="D963" s="7"/>
      <c r="E963" s="7"/>
      <c r="F963" s="5"/>
      <c r="G963" s="5"/>
      <c r="H963" s="5"/>
      <c r="I963" s="5"/>
      <c r="J963" s="5"/>
      <c r="K963" s="5"/>
      <c r="L963" s="5"/>
      <c r="M963" s="5"/>
      <c r="N963" s="5"/>
      <c r="O963" s="5"/>
      <c r="P963" s="5"/>
      <c r="Q963" s="5"/>
      <c r="R963" s="5"/>
      <c r="S963" s="5"/>
      <c r="T963" s="5"/>
      <c r="U963" s="5"/>
      <c r="V963" s="5"/>
      <c r="W963" s="5"/>
      <c r="X963" s="5"/>
      <c r="Y963" s="5"/>
      <c r="Z963" s="5"/>
    </row>
    <row r="964" spans="1:26" ht="15.6" x14ac:dyDescent="0.3">
      <c r="A964" s="18" t="s">
        <v>8</v>
      </c>
      <c r="B964" s="25" t="s">
        <v>969</v>
      </c>
      <c r="C964" s="2" t="str">
        <f ca="1">IFERROR(__xludf.DUMMYFUNCTION("GOOGLETRANSLATE(B964, ""bn"", ""en"")"),"Zamindar Moklechur Rahman was a very fair zamindar during the partition of the country, although there were Hindu Muslim riots everywhere, he kept the area separate from everything and recent.")</f>
        <v>Zamindar Moklechur Rahman was a very fair zamindar during the partition of the country, although there were Hindu Muslim riots everywhere, he kept the area separate from everything and recent.</v>
      </c>
      <c r="D964" s="2"/>
      <c r="E964" s="2"/>
      <c r="F964" s="2"/>
      <c r="G964" s="2"/>
      <c r="H964" s="3"/>
      <c r="I964" s="3"/>
      <c r="J964" s="3"/>
      <c r="K964" s="3"/>
      <c r="L964" s="3"/>
      <c r="M964" s="3"/>
      <c r="N964" s="3"/>
      <c r="O964" s="3"/>
      <c r="P964" s="3"/>
      <c r="Q964" s="3"/>
      <c r="R964" s="3"/>
      <c r="S964" s="3"/>
      <c r="T964" s="3"/>
      <c r="U964" s="3"/>
      <c r="V964" s="3"/>
      <c r="W964" s="3"/>
      <c r="X964" s="3"/>
      <c r="Y964" s="3"/>
      <c r="Z964" s="3"/>
    </row>
    <row r="965" spans="1:26" ht="15.6" x14ac:dyDescent="0.3">
      <c r="A965" s="19" t="s">
        <v>3</v>
      </c>
      <c r="B965" s="26" t="s">
        <v>970</v>
      </c>
      <c r="C965" s="2" t="str">
        <f ca="1">IFERROR(__xludf.DUMMYFUNCTION("GOOGLETRANSLATE(B965, ""bn"", ""en"")"),"Muslims and Muslim rulers breathed a sigh of relief to the immense masses of the country who were victims of casteism created by outsider Brahmins.")</f>
        <v>Muslims and Muslim rulers breathed a sigh of relief to the immense masses of the country who were victims of casteism created by outsider Brahmins.</v>
      </c>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6" x14ac:dyDescent="0.3">
      <c r="A966" s="19" t="s">
        <v>8</v>
      </c>
      <c r="B966" s="26" t="s">
        <v>971</v>
      </c>
      <c r="C966" s="2" t="str">
        <f ca="1">IFERROR(__xludf.DUMMYFUNCTION("GOOGLETRANSLATE(B966, ""bn"", ""en"")"),"On the night of the incident, the miscreants attacked, looted and vandalized the temple due to Jillur being admitted to the hospital. Attempts are being made to incite communal riots between peaceful Muslim and Hindu communities in this incident.")</f>
        <v>On the night of the incident, the miscreants attacked, looted and vandalized the temple due to Jillur being admitted to the hospital. Attempts are being made to incite communal riots between peaceful Muslim and Hindu communities in this incident.</v>
      </c>
      <c r="D966" s="7"/>
      <c r="E966" s="7"/>
      <c r="F966" s="7"/>
      <c r="G966" s="7"/>
      <c r="H966" s="7"/>
      <c r="I966" s="7"/>
      <c r="J966" s="7"/>
      <c r="K966" s="7"/>
      <c r="L966" s="7"/>
      <c r="M966" s="7"/>
      <c r="N966" s="7"/>
      <c r="O966" s="7"/>
      <c r="P966" s="5"/>
      <c r="Q966" s="5"/>
      <c r="R966" s="5"/>
      <c r="S966" s="5"/>
      <c r="T966" s="5"/>
      <c r="U966" s="5"/>
      <c r="V966" s="5"/>
      <c r="W966" s="5"/>
      <c r="X966" s="5"/>
      <c r="Y966" s="5"/>
      <c r="Z966" s="5"/>
    </row>
    <row r="967" spans="1:26" ht="15.6" x14ac:dyDescent="0.3">
      <c r="A967" s="18" t="s">
        <v>3</v>
      </c>
      <c r="B967" s="25" t="s">
        <v>972</v>
      </c>
      <c r="C967" s="2" t="str">
        <f ca="1">IFERROR(__xludf.DUMMYFUNCTION("GOOGLETRANSLATE(B967, ""bn"", ""en"")"),"Through religion man gains knowledge about the purpose of life and purposeful living, which guides him in the right direction.")</f>
        <v>Through religion man gains knowledge about the purpose of life and purposeful living, which guides him in the right direction.</v>
      </c>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6" x14ac:dyDescent="0.3">
      <c r="A968" s="18" t="s">
        <v>8</v>
      </c>
      <c r="B968" s="25" t="s">
        <v>973</v>
      </c>
      <c r="C968" s="2" t="str">
        <f ca="1">IFERROR(__xludf.DUMMYFUNCTION("GOOGLETRANSLATE(B968, ""bn"", ""en"")"),"The attack on this Hindu village was planned to destroy the communal harmony. Amir, secretary and 100 people of Pirganj Jamaat-e-Islami were arrested in this attack.")</f>
        <v>The attack on this Hindu village was planned to destroy the communal harmony. Amir, secretary and 100 people of Pirganj Jamaat-e-Islami were arrested in this attack.</v>
      </c>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6" x14ac:dyDescent="0.3">
      <c r="A969" s="18" t="s">
        <v>5</v>
      </c>
      <c r="B969" s="24" t="s">
        <v>974</v>
      </c>
      <c r="C969" s="2" t="str">
        <f ca="1">IFERROR(__xludf.DUMMYFUNCTION("GOOGLETRANSLATE(B969, ""bn"", ""en"")"),"In March 2021, religious extremists attacked girls in a Christian community, killing 16, raising concerns about the safety of girls.")</f>
        <v>In March 2021, religious extremists attacked girls in a Christian community, killing 16, raising concerns about the safety of girls.</v>
      </c>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6" x14ac:dyDescent="0.3">
      <c r="A970" s="18" t="s">
        <v>3</v>
      </c>
      <c r="B970" s="25" t="s">
        <v>975</v>
      </c>
      <c r="C970" s="2" t="str">
        <f ca="1">IFERROR(__xludf.DUMMYFUNCTION("GOOGLETRANSLATE(B970, ""bn"", ""en"")"),"All religions show the path of peace, love and harmony for human beings, and true religion never encourages the spirit of aggression or antagonism towards other human beings, but rather strives to make the world a peaceful place through mutual respect and"&amp;" compassion.")</f>
        <v>All religions show the path of peace, love and harmony for human beings, and true religion never encourages the spirit of aggression or antagonism towards other human beings, but rather strives to make the world a peaceful place through mutual respect and compassion.</v>
      </c>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6" x14ac:dyDescent="0.3">
      <c r="A971" s="18" t="s">
        <v>8</v>
      </c>
      <c r="B971" s="24" t="s">
        <v>976</v>
      </c>
      <c r="C971" s="2" t="str">
        <f ca="1">IFERROR(__xludf.DUMMYFUNCTION("GOOGLETRANSLATE(B971, ""bn"", ""en"")"),"Miscreants entered a Mansa temple in Chuadanga in the evening and beat worshiping devotees and broke the idol.")</f>
        <v>Miscreants entered a Mansa temple in Chuadanga in the evening and beat worshiping devotees and broke the idol.</v>
      </c>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6" x14ac:dyDescent="0.3">
      <c r="A972" s="18" t="s">
        <v>5</v>
      </c>
      <c r="B972" s="24" t="s">
        <v>977</v>
      </c>
      <c r="C972" s="2" t="str">
        <f ca="1">IFERROR(__xludf.DUMMYFUNCTION("GOOGLETRANSLATE(B972, ""bn"", ""en"")"),"40 people were killed in religious riots in Narail district. The police quickly tried to control the situation, the government ordered to maintain calm and religious tolerance. Many minority families leave the village for security reasons.")</f>
        <v>40 people were killed in religious riots in Narail district. The police quickly tried to control the situation, the government ordered to maintain calm and religious tolerance. Many minority families leave the village for security reasons.</v>
      </c>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6" x14ac:dyDescent="0.3">
      <c r="A973" s="18" t="s">
        <v>23</v>
      </c>
      <c r="B973" s="25" t="s">
        <v>978</v>
      </c>
      <c r="C973" s="2" t="str">
        <f ca="1">IFERROR(__xludf.DUMMYFUNCTION("GOOGLETRANSLATE(B973, ""bn"", ""en"")"),"Although people of all religions live in peace, political vandals are trying to create discord among Hindus, Muslims, Christians and tribals through religious incitement.")</f>
        <v>Although people of all religions live in peace, political vandals are trying to create discord among Hindus, Muslims, Christians and tribals through religious incitement.</v>
      </c>
      <c r="D973" s="6"/>
      <c r="E973" s="6"/>
      <c r="F973" s="2"/>
      <c r="G973" s="2"/>
      <c r="H973" s="3"/>
      <c r="I973" s="3"/>
      <c r="J973" s="3"/>
      <c r="K973" s="3"/>
      <c r="L973" s="3"/>
      <c r="M973" s="3"/>
      <c r="N973" s="3"/>
      <c r="O973" s="3"/>
      <c r="P973" s="3"/>
      <c r="Q973" s="3"/>
      <c r="R973" s="3"/>
      <c r="S973" s="3"/>
      <c r="T973" s="3"/>
      <c r="U973" s="3"/>
      <c r="V973" s="3"/>
      <c r="W973" s="3"/>
      <c r="X973" s="3"/>
      <c r="Y973" s="3"/>
      <c r="Z973" s="3"/>
    </row>
    <row r="974" spans="1:26" ht="15.6" x14ac:dyDescent="0.3">
      <c r="A974" s="18" t="s">
        <v>5</v>
      </c>
      <c r="B974" s="25" t="s">
        <v>979</v>
      </c>
      <c r="C974" s="2" t="str">
        <f ca="1">IFERROR(__xludf.DUMMYFUNCTION("GOOGLETRANSLATE(B974, ""bn"", ""en"")"),"A man was beaten to death and his body was later burnt in Lalmonirhat on charges of blasphemy.")</f>
        <v>A man was beaten to death and his body was later burnt in Lalmonirhat on charges of blasphemy.</v>
      </c>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6" x14ac:dyDescent="0.3">
      <c r="A975" s="18" t="s">
        <v>23</v>
      </c>
      <c r="B975" s="25" t="s">
        <v>980</v>
      </c>
      <c r="C975" s="2" t="str">
        <f ca="1">IFERROR(__xludf.DUMMYFUNCTION("GOOGLETRANSLATE(B975, ""bn"", ""en"")"),"Contempt for religion is the destruction of a valuable pillar of a society. Whoever commits suicide in the name of religion is only a weak man rather than a dutiful man.")</f>
        <v>Contempt for religion is the destruction of a valuable pillar of a society. Whoever commits suicide in the name of religion is only a weak man rather than a dutiful man.</v>
      </c>
      <c r="D975" s="2"/>
      <c r="E975" s="2"/>
      <c r="F975" s="2"/>
      <c r="G975" s="2"/>
      <c r="H975" s="3"/>
      <c r="I975" s="3"/>
      <c r="J975" s="3"/>
      <c r="K975" s="3"/>
      <c r="L975" s="3"/>
      <c r="M975" s="3"/>
      <c r="N975" s="3"/>
      <c r="O975" s="3"/>
      <c r="P975" s="3"/>
      <c r="Q975" s="3"/>
      <c r="R975" s="3"/>
      <c r="S975" s="3"/>
      <c r="T975" s="3"/>
      <c r="U975" s="3"/>
      <c r="V975" s="3"/>
      <c r="W975" s="3"/>
      <c r="X975" s="3"/>
      <c r="Y975" s="3"/>
      <c r="Z975" s="3"/>
    </row>
    <row r="976" spans="1:26" ht="15.6" x14ac:dyDescent="0.3">
      <c r="A976" s="18" t="s">
        <v>5</v>
      </c>
      <c r="B976" s="25" t="s">
        <v>981</v>
      </c>
      <c r="C976" s="2" t="str">
        <f ca="1">IFERROR(__xludf.DUMMYFUNCTION("GOOGLETRANSLATE(B976, ""bn"", ""en"")"),"Hindu pogroms refer to incidents of Hindus being killed by other religions at various times. Hindus have accepted this oppression and suppression for ages.")</f>
        <v>Hindu pogroms refer to incidents of Hindus being killed by other religions at various times. Hindus have accepted this oppression and suppression for ages.</v>
      </c>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6" x14ac:dyDescent="0.3">
      <c r="A977" s="19" t="s">
        <v>23</v>
      </c>
      <c r="B977" s="26" t="s">
        <v>982</v>
      </c>
      <c r="C977" s="2" t="str">
        <f ca="1">IFERROR(__xludf.DUMMYFUNCTION("GOOGLETRANSLATE(B977, ""bn"", ""en"")"),"O Allah, punish those who burned the Holy Qur'an and protect our Qur'an.")</f>
        <v>O Allah, punish those who burned the Holy Qur'an and protect our Qur'an.</v>
      </c>
      <c r="D977" s="7"/>
      <c r="E977" s="7"/>
      <c r="F977" s="5"/>
      <c r="G977" s="5"/>
      <c r="H977" s="5"/>
      <c r="I977" s="5"/>
      <c r="J977" s="5"/>
      <c r="K977" s="5"/>
      <c r="L977" s="5"/>
      <c r="M977" s="5"/>
      <c r="N977" s="5"/>
      <c r="O977" s="5"/>
      <c r="P977" s="5"/>
      <c r="Q977" s="5"/>
      <c r="R977" s="5"/>
      <c r="S977" s="5"/>
      <c r="T977" s="5"/>
      <c r="U977" s="5"/>
      <c r="V977" s="5"/>
      <c r="W977" s="5"/>
      <c r="X977" s="5"/>
      <c r="Y977" s="5"/>
      <c r="Z977" s="5"/>
    </row>
    <row r="978" spans="1:26" ht="15.6" x14ac:dyDescent="0.3">
      <c r="A978" s="19" t="s">
        <v>23</v>
      </c>
      <c r="B978" s="26" t="s">
        <v>983</v>
      </c>
      <c r="C978" s="2" t="str">
        <f ca="1">IFERROR(__xludf.DUMMYFUNCTION("GOOGLETRANSLATE(B978, ""bn"", ""en"")"),"When there is religion there is communalism and everyone wants to establish their own religion above all others.")</f>
        <v>When there is religion there is communalism and everyone wants to establish their own religion above all others.</v>
      </c>
      <c r="D978" s="7"/>
      <c r="E978" s="7"/>
      <c r="F978" s="5"/>
      <c r="G978" s="5"/>
      <c r="H978" s="5"/>
      <c r="I978" s="5"/>
      <c r="J978" s="5"/>
      <c r="K978" s="5"/>
      <c r="L978" s="5"/>
      <c r="M978" s="5"/>
      <c r="N978" s="5"/>
      <c r="O978" s="5"/>
      <c r="P978" s="5"/>
      <c r="Q978" s="5"/>
      <c r="R978" s="5"/>
      <c r="S978" s="5"/>
      <c r="T978" s="5"/>
      <c r="U978" s="5"/>
      <c r="V978" s="5"/>
      <c r="W978" s="5"/>
      <c r="X978" s="5"/>
      <c r="Y978" s="5"/>
      <c r="Z978" s="5"/>
    </row>
    <row r="979" spans="1:26" ht="15.6" x14ac:dyDescent="0.3">
      <c r="A979" s="19" t="s">
        <v>8</v>
      </c>
      <c r="B979" s="26" t="s">
        <v>984</v>
      </c>
      <c r="C979" s="2" t="str">
        <f ca="1">IFERROR(__xludf.DUMMYFUNCTION("GOOGLETRANSLATE(B979, ""bn"", ""en"")"),"A Buddhist monastery near Rajshahi was burnt down after two Buddha images survived Harsha's destruction and later destroyed during the reign of King Jaisingh.")</f>
        <v>A Buddhist monastery near Rajshahi was burnt down after two Buddha images survived Harsha's destruction and later destroyed during the reign of King Jaisingh.</v>
      </c>
      <c r="D979" s="7"/>
      <c r="E979" s="7"/>
      <c r="F979" s="7"/>
      <c r="G979" s="7"/>
      <c r="H979" s="7"/>
      <c r="I979" s="7"/>
      <c r="J979" s="7"/>
      <c r="K979" s="7"/>
      <c r="L979" s="7"/>
      <c r="M979" s="5"/>
      <c r="N979" s="5"/>
      <c r="O979" s="5"/>
      <c r="P979" s="5"/>
      <c r="Q979" s="5"/>
      <c r="R979" s="5"/>
      <c r="S979" s="5"/>
      <c r="T979" s="5"/>
      <c r="U979" s="5"/>
      <c r="V979" s="5"/>
      <c r="W979" s="5"/>
      <c r="X979" s="5"/>
      <c r="Y979" s="5"/>
      <c r="Z979" s="5"/>
    </row>
    <row r="980" spans="1:26" ht="15.6" x14ac:dyDescent="0.3">
      <c r="A980" s="18" t="s">
        <v>3</v>
      </c>
      <c r="B980" s="25" t="s">
        <v>985</v>
      </c>
      <c r="C980" s="2" t="str">
        <f ca="1">IFERROR(__xludf.DUMMYFUNCTION("GOOGLETRANSLATE(B980, ""bn"", ""en"")"),"Followers of Jainism believe that their every good deed and attitude of non-violence is important for their spiritual progress.")</f>
        <v>Followers of Jainism believe that their every good deed and attitude of non-violence is important for their spiritual progress.</v>
      </c>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6" x14ac:dyDescent="0.3">
      <c r="A981" s="19" t="s">
        <v>23</v>
      </c>
      <c r="B981" s="24" t="s">
        <v>986</v>
      </c>
      <c r="C981" s="2" t="str">
        <f ca="1">IFERROR(__xludf.DUMMYFUNCTION("GOOGLETRANSLATE(B981, ""bn"", ""en"")"),"After the Dhaka riots, Hussain made religiously inflammatory speeches encouraging Muslims to commit violence against Hindus. In some areas Muslims boycott Hindu shops.")</f>
        <v>After the Dhaka riots, Hussain made religiously inflammatory speeches encouraging Muslims to commit violence against Hindus. In some areas Muslims boycott Hindu shops.</v>
      </c>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6" x14ac:dyDescent="0.3">
      <c r="A982" s="19" t="s">
        <v>23</v>
      </c>
      <c r="B982" s="26" t="s">
        <v>987</v>
      </c>
      <c r="C982" s="2" t="str">
        <f ca="1">IFERROR(__xludf.DUMMYFUNCTION("GOOGLETRANSLATE(B982, ""bn"", ""en"")"),"Those who have faith should boycott Bangladeshi products because the money from those sales can be used to harm the Muslim community.")</f>
        <v>Those who have faith should boycott Bangladeshi products because the money from those sales can be used to harm the Muslim community.</v>
      </c>
      <c r="D982" s="7"/>
      <c r="E982" s="7"/>
      <c r="F982" s="7"/>
      <c r="G982" s="7"/>
      <c r="H982" s="7"/>
      <c r="I982" s="7"/>
      <c r="J982" s="5"/>
      <c r="K982" s="5"/>
      <c r="L982" s="5"/>
      <c r="M982" s="5"/>
      <c r="N982" s="5"/>
      <c r="O982" s="5"/>
      <c r="P982" s="5"/>
      <c r="Q982" s="5"/>
      <c r="R982" s="5"/>
      <c r="S982" s="5"/>
      <c r="T982" s="5"/>
      <c r="U982" s="5"/>
      <c r="V982" s="5"/>
      <c r="W982" s="5"/>
      <c r="X982" s="5"/>
      <c r="Y982" s="5"/>
      <c r="Z982" s="5"/>
    </row>
    <row r="983" spans="1:26" ht="15.6" x14ac:dyDescent="0.3">
      <c r="A983" s="18" t="s">
        <v>23</v>
      </c>
      <c r="B983" s="25" t="s">
        <v>988</v>
      </c>
      <c r="C983" s="2" t="str">
        <f ca="1">IFERROR(__xludf.DUMMYFUNCTION("GOOGLETRANSLATE(B983, ""bn"", ""en"")"),"Where Islam has taught unity, brotherhood, sincerity and love, in today's society we see that Muslim unity and brotherhood is being destroyed through some ulama. As a result Muslim power is weakening. Loyalty, discipline and brotherhood are disappearing b"&amp;"etween generations.")</f>
        <v>Where Islam has taught unity, brotherhood, sincerity and love, in today's society we see that Muslim unity and brotherhood is being destroyed through some ulama. As a result Muslim power is weakening. Loyalty, discipline and brotherhood are disappearing between generations.</v>
      </c>
      <c r="D983" s="2"/>
      <c r="E983" s="2"/>
      <c r="F983" s="2"/>
      <c r="G983" s="2"/>
      <c r="H983" s="3"/>
      <c r="I983" s="3"/>
      <c r="J983" s="3"/>
      <c r="K983" s="3"/>
      <c r="L983" s="3"/>
      <c r="M983" s="3"/>
      <c r="N983" s="3"/>
      <c r="O983" s="3"/>
      <c r="P983" s="3"/>
      <c r="Q983" s="3"/>
      <c r="R983" s="3"/>
      <c r="S983" s="3"/>
      <c r="T983" s="3"/>
      <c r="U983" s="3"/>
      <c r="V983" s="3"/>
      <c r="W983" s="3"/>
      <c r="X983" s="3"/>
      <c r="Y983" s="3"/>
      <c r="Z983" s="3"/>
    </row>
    <row r="984" spans="1:26" ht="15.6" x14ac:dyDescent="0.3">
      <c r="A984" s="19" t="s">
        <v>3</v>
      </c>
      <c r="B984" s="26" t="s">
        <v>989</v>
      </c>
      <c r="C984" s="2" t="str">
        <f ca="1">IFERROR(__xludf.DUMMYFUNCTION("GOOGLETRANSLATE(B984, ""bn"", ""en"")"),"Although peace is the goal of all religions, today religion is characterized by politics, discord, violence and unrest which is contrary to human welfare.")</f>
        <v>Although peace is the goal of all religions, today religion is characterized by politics, discord, violence and unrest which is contrary to human welfare.</v>
      </c>
      <c r="D984" s="7"/>
      <c r="E984" s="7"/>
      <c r="F984" s="7"/>
      <c r="G984" s="7"/>
      <c r="H984" s="7"/>
      <c r="I984" s="7"/>
      <c r="J984" s="5"/>
      <c r="K984" s="5"/>
      <c r="L984" s="5"/>
      <c r="M984" s="5"/>
      <c r="N984" s="5"/>
      <c r="O984" s="5"/>
      <c r="P984" s="5"/>
      <c r="Q984" s="5"/>
      <c r="R984" s="5"/>
      <c r="S984" s="5"/>
      <c r="T984" s="5"/>
      <c r="U984" s="5"/>
      <c r="V984" s="5"/>
      <c r="W984" s="5"/>
      <c r="X984" s="5"/>
      <c r="Y984" s="5"/>
      <c r="Z984" s="5"/>
    </row>
    <row r="985" spans="1:26" ht="15.6" x14ac:dyDescent="0.3">
      <c r="A985" s="18" t="s">
        <v>23</v>
      </c>
      <c r="B985" s="24" t="s">
        <v>990</v>
      </c>
      <c r="C985" s="2" t="str">
        <f ca="1">IFERROR(__xludf.DUMMYFUNCTION("GOOGLETRANSLATE(B985, ""bn"", ""en"")"),"The Prophet, may God bless him and grant him peace, was treated humiliatingly — unclean objects were thrown at his door, camels' hooves were thrown at him, and even physically assaulted.")</f>
        <v>The Prophet, may God bless him and grant him peace, was treated humiliatingly — unclean objects were thrown at his door, camels' hooves were thrown at him, and even physically assaulted.</v>
      </c>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6" x14ac:dyDescent="0.3">
      <c r="A986" s="18" t="s">
        <v>5</v>
      </c>
      <c r="B986" s="24" t="s">
        <v>991</v>
      </c>
      <c r="C986" s="2" t="str">
        <f ca="1">IFERROR(__xludf.DUMMYFUNCTION("GOOGLETRANSLATE(B986, ""bn"", ""en"")"),"A suicide bomber killed 45 praying Christians in a church.")</f>
        <v>A suicide bomber killed 45 praying Christians in a church.</v>
      </c>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6" x14ac:dyDescent="0.3">
      <c r="A987" s="18" t="s">
        <v>23</v>
      </c>
      <c r="B987" s="25" t="s">
        <v>992</v>
      </c>
      <c r="C987" s="2" t="str">
        <f ca="1">IFERROR(__xludf.DUMMYFUNCTION("GOOGLETRANSLATE(B987, ""bn"", ""en"")"),"Even if you riot Hindu Muslims, we unite Hindus and Muslims, this is Trinamool family. We strongly condemn those who use religious teachings wrongly to create division.")</f>
        <v>Even if you riot Hindu Muslims, we unite Hindus and Muslims, this is Trinamool family. We strongly condemn those who use religious teachings wrongly to create division.</v>
      </c>
      <c r="D987" s="2"/>
      <c r="E987" s="2"/>
      <c r="F987" s="2"/>
      <c r="G987" s="2"/>
      <c r="H987" s="3"/>
      <c r="I987" s="3"/>
      <c r="J987" s="3"/>
      <c r="K987" s="3"/>
      <c r="L987" s="3"/>
      <c r="M987" s="3"/>
      <c r="N987" s="3"/>
      <c r="O987" s="3"/>
      <c r="P987" s="3"/>
      <c r="Q987" s="3"/>
      <c r="R987" s="3"/>
      <c r="S987" s="3"/>
      <c r="T987" s="3"/>
      <c r="U987" s="3"/>
      <c r="V987" s="3"/>
      <c r="W987" s="3"/>
      <c r="X987" s="3"/>
      <c r="Y987" s="3"/>
      <c r="Z987" s="3"/>
    </row>
    <row r="988" spans="1:26" ht="15.6" x14ac:dyDescent="0.3">
      <c r="A988" s="18" t="s">
        <v>3</v>
      </c>
      <c r="B988" s="25" t="s">
        <v>993</v>
      </c>
      <c r="C988" s="2" t="str">
        <f ca="1">IFERROR(__xludf.DUMMYFUNCTION("GOOGLETRANSLATE(B988, ""bn"", ""en"")"),"I believe there should be justice according to religious values, so children should have equal rights in father's property. This is the sign of real religious justice.")</f>
        <v>I believe there should be justice according to religious values, so children should have equal rights in father's property. This is the sign of real religious justice.</v>
      </c>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6" x14ac:dyDescent="0.3">
      <c r="A989" s="18" t="s">
        <v>8</v>
      </c>
      <c r="B989" s="25" t="s">
        <v>994</v>
      </c>
      <c r="C989" s="2" t="str">
        <f ca="1">IFERROR(__xludf.DUMMYFUNCTION("GOOGLETRANSLATE(B989, ""bn"", ""en"")"),"The temple priest and ten Hindu families were brutally tortured for four hours. Many places of worship were looted and destroyed, including Kalimandir at Lalbagh, Girigovardhan Temple at Pushpanagar, Harinath Akhara and the crematorium at Kamrangi.")</f>
        <v>The temple priest and ten Hindu families were brutally tortured for four hours. Many places of worship were looted and destroyed, including Kalimandir at Lalbagh, Girigovardhan Temple at Pushpanagar, Harinath Akhara and the crematorium at Kamrangi.</v>
      </c>
      <c r="D989" s="6"/>
      <c r="E989" s="6"/>
      <c r="F989" s="2"/>
      <c r="G989" s="2"/>
      <c r="H989" s="3"/>
      <c r="I989" s="3"/>
      <c r="J989" s="3"/>
      <c r="K989" s="3"/>
      <c r="L989" s="3"/>
      <c r="M989" s="3"/>
      <c r="N989" s="3"/>
      <c r="O989" s="3"/>
      <c r="P989" s="3"/>
      <c r="Q989" s="3"/>
      <c r="R989" s="3"/>
      <c r="S989" s="3"/>
      <c r="T989" s="3"/>
      <c r="U989" s="3"/>
      <c r="V989" s="3"/>
      <c r="W989" s="3"/>
      <c r="X989" s="3"/>
      <c r="Y989" s="3"/>
      <c r="Z989" s="3"/>
    </row>
    <row r="990" spans="1:26" ht="15.6" x14ac:dyDescent="0.3">
      <c r="A990" s="19" t="s">
        <v>3</v>
      </c>
      <c r="B990" s="26" t="s">
        <v>995</v>
      </c>
      <c r="C990" s="2" t="str">
        <f ca="1">IFERROR(__xludf.DUMMYFUNCTION("GOOGLETRANSLATE(B990, ""bn"", ""en"")"),"Berat Qandili is the name of mid-Sha'ban and is considered a holy day in Turkey. Since the time of Sultan Selim II of the Ottoman Empire, Muslim holidays have been called qandil (Arabic: قنديل, oil lamp), lighting lamps to illuminate minarets on special a"&amp;"uspicious nights.")</f>
        <v>Berat Qandili is the name of mid-Sha'ban and is considered a holy day in Turkey. Since the time of Sultan Selim II of the Ottoman Empire, Muslim holidays have been called qandil (Arabic: قنديل, oil lamp), lighting lamps to illuminate minarets on special auspicious nights.</v>
      </c>
      <c r="D990" s="7"/>
      <c r="E990" s="7"/>
      <c r="F990" s="7"/>
      <c r="G990" s="7"/>
      <c r="H990" s="7"/>
      <c r="I990" s="7"/>
      <c r="J990" s="7"/>
      <c r="K990" s="5"/>
      <c r="L990" s="5"/>
      <c r="M990" s="5"/>
      <c r="N990" s="5"/>
      <c r="O990" s="5"/>
      <c r="P990" s="5"/>
      <c r="Q990" s="5"/>
      <c r="R990" s="5"/>
      <c r="S990" s="5"/>
      <c r="T990" s="5"/>
      <c r="U990" s="5"/>
      <c r="V990" s="5"/>
      <c r="W990" s="5"/>
      <c r="X990" s="5"/>
      <c r="Y990" s="5"/>
      <c r="Z990" s="5"/>
    </row>
    <row r="991" spans="1:26" ht="15.6" x14ac:dyDescent="0.3">
      <c r="A991" s="18" t="s">
        <v>8</v>
      </c>
      <c r="B991" s="25" t="s">
        <v>996</v>
      </c>
      <c r="C991" s="2" t="str">
        <f ca="1">IFERROR(__xludf.DUMMYFUNCTION("GOOGLETRANSLATE(B991, ""bn"", ""en"")"),"In the attack on the religious place of worship, several structures collapsed, panic spread among the common people.")</f>
        <v>In the attack on the religious place of worship, several structures collapsed, panic spread among the common people.</v>
      </c>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6" x14ac:dyDescent="0.3">
      <c r="A992" s="19" t="s">
        <v>5</v>
      </c>
      <c r="B992" s="26" t="s">
        <v>997</v>
      </c>
      <c r="C992" s="2" t="str">
        <f ca="1">IFERROR(__xludf.DUMMYFUNCTION("GOOGLETRANSLATE(B992, ""bn"", ""en"")"),"Those who were killed were killed because of Christianity. According to Open Doors, approximately 11 Christians worldwide die for their faith each year.")</f>
        <v>Those who were killed were killed because of Christianity. According to Open Doors, approximately 11 Christians worldwide die for their faith each year.</v>
      </c>
      <c r="D992" s="7"/>
      <c r="E992" s="7"/>
      <c r="F992" s="7"/>
      <c r="G992" s="7"/>
      <c r="H992" s="7"/>
      <c r="I992" s="7"/>
      <c r="J992" s="7"/>
      <c r="K992" s="7"/>
      <c r="L992" s="7"/>
      <c r="M992" s="5"/>
      <c r="N992" s="5"/>
      <c r="O992" s="5"/>
      <c r="P992" s="5"/>
      <c r="Q992" s="5"/>
      <c r="R992" s="5"/>
      <c r="S992" s="5"/>
      <c r="T992" s="5"/>
      <c r="U992" s="5"/>
      <c r="V992" s="5"/>
      <c r="W992" s="5"/>
      <c r="X992" s="5"/>
      <c r="Y992" s="5"/>
      <c r="Z992" s="5"/>
    </row>
    <row r="993" spans="1:26" ht="15.6" x14ac:dyDescent="0.3">
      <c r="A993" s="19" t="s">
        <v>3</v>
      </c>
      <c r="B993" s="26" t="s">
        <v>998</v>
      </c>
      <c r="C993" s="2" t="str">
        <f ca="1">IFERROR(__xludf.DUMMYFUNCTION("GOOGLETRANSLATE(B993, ""bn"", ""en"")"),"On this day, Buddhists make kaguje lanterns with utmost reverence and according to religious customs, lanterns are hoisted as sky lamps to worship Chulamani Chaitya.")</f>
        <v>On this day, Buddhists make kaguje lanterns with utmost reverence and according to religious customs, lanterns are hoisted as sky lamps to worship Chulamani Chaitya.</v>
      </c>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6" x14ac:dyDescent="0.3">
      <c r="A994" s="18" t="s">
        <v>8</v>
      </c>
      <c r="B994" s="24" t="s">
        <v>999</v>
      </c>
      <c r="C994" s="2" t="str">
        <f ca="1">IFERROR(__xludf.DUMMYFUNCTION("GOOGLETRANSLATE(B994, ""bn"", ""en"")"),"A Hindu temple in Madaripur was set on fire in the dark of night, causing extensive damage to the puja items and idols.")</f>
        <v>A Hindu temple in Madaripur was set on fire in the dark of night, causing extensive damage to the puja items and idols.</v>
      </c>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6" x14ac:dyDescent="0.3">
      <c r="A995" s="18" t="s">
        <v>8</v>
      </c>
      <c r="B995" s="25" t="s">
        <v>1000</v>
      </c>
      <c r="C995" s="2" t="str">
        <f ca="1">IFERROR(__xludf.DUMMYFUNCTION("GOOGLETRANSLATE(B995, ""bn"", ""en"")"),"At 8:30 in the night, the statue of Moidail Pujamandap of Munsibazar Union, the statue of Kamarchhara Cha Bagan Pujamandap and three other mandaps were vandalized. Demonstration procession and vandalism took place in Kulaura upazila.")</f>
        <v>At 8:30 in the night, the statue of Moidail Pujamandap of Munsibazar Union, the statue of Kamarchhara Cha Bagan Pujamandap and three other mandaps were vandalized. Demonstration procession and vandalism took place in Kulaura upazila.</v>
      </c>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6" x14ac:dyDescent="0.3">
      <c r="A996" s="18" t="s">
        <v>5</v>
      </c>
      <c r="B996" s="25" t="s">
        <v>1001</v>
      </c>
      <c r="C996" s="2" t="str">
        <f ca="1">IFERROR(__xludf.DUMMYFUNCTION("GOOGLETRANSLATE(B996, ""bn"", ""en"")"),"Innocent lives have been lost due to the spread of hatred between different religious groups, posing a threat to social harmony.")</f>
        <v>Innocent lives have been lost due to the spread of hatred between different religious groups, posing a threat to social harmony.</v>
      </c>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6" x14ac:dyDescent="0.3">
      <c r="A997" s="18" t="s">
        <v>8</v>
      </c>
      <c r="B997" s="25" t="s">
        <v>1002</v>
      </c>
      <c r="C997" s="2" t="str">
        <f ca="1">IFERROR(__xludf.DUMMYFUNCTION("GOOGLETRANSLATE(B997, ""bn"", ""en"")"),"The provincial government of Bengal is subtly aiding the persecution of Hindus. He also mentioned in the report: Muslims attacked Hindus in gangs and looted Hindus' valuables.")</f>
        <v>The provincial government of Bengal is subtly aiding the persecution of Hindus. He also mentioned in the report: Muslims attacked Hindus in gangs and looted Hindus' valuables.</v>
      </c>
      <c r="D997" s="6"/>
      <c r="E997" s="2"/>
      <c r="F997" s="2"/>
      <c r="G997" s="2"/>
      <c r="H997" s="5"/>
      <c r="I997" s="5"/>
      <c r="J997" s="5"/>
      <c r="K997" s="5"/>
      <c r="L997" s="5"/>
      <c r="M997" s="5"/>
      <c r="N997" s="5"/>
      <c r="O997" s="5"/>
      <c r="P997" s="5"/>
      <c r="Q997" s="5"/>
      <c r="R997" s="5"/>
      <c r="S997" s="5"/>
      <c r="T997" s="5"/>
      <c r="U997" s="5"/>
      <c r="V997" s="5"/>
      <c r="W997" s="5"/>
      <c r="X997" s="5"/>
      <c r="Y997" s="5"/>
      <c r="Z997" s="5"/>
    </row>
    <row r="998" spans="1:26" ht="15.6" x14ac:dyDescent="0.3">
      <c r="A998" s="18" t="s">
        <v>23</v>
      </c>
      <c r="B998" s="25" t="s">
        <v>1003</v>
      </c>
      <c r="C998" s="2" t="str">
        <f ca="1">IFERROR(__xludf.DUMMYFUNCTION("GOOGLETRANSLATE(B998, ""bn"", ""en"")"),"The government was also demanded to bring a censure motion to the National Assembly from the protest rally. At the same time, the ambassador of Sweden was summoned and the government was demanded to apologize in this regard. All the speakers strongly cond"&amp;"emned the desecration of Quran and urged the government to be stricter in this regard.")</f>
        <v>The government was also demanded to bring a censure motion to the National Assembly from the protest rally. At the same time, the ambassador of Sweden was summoned and the government was demanded to apologize in this regard. All the speakers strongly condemned the desecration of Quran and urged the government to be stricter in this regard.</v>
      </c>
      <c r="D998" s="2"/>
      <c r="E998" s="2"/>
      <c r="F998" s="2"/>
      <c r="G998" s="2"/>
      <c r="H998" s="3"/>
      <c r="I998" s="3"/>
      <c r="J998" s="3"/>
      <c r="K998" s="3"/>
      <c r="L998" s="3"/>
      <c r="M998" s="3"/>
      <c r="N998" s="3"/>
      <c r="O998" s="3"/>
      <c r="P998" s="3"/>
      <c r="Q998" s="3"/>
      <c r="R998" s="3"/>
      <c r="S998" s="3"/>
      <c r="T998" s="3"/>
      <c r="U998" s="3"/>
      <c r="V998" s="3"/>
      <c r="W998" s="3"/>
      <c r="X998" s="3"/>
      <c r="Y998" s="3"/>
      <c r="Z998" s="3"/>
    </row>
    <row r="999" spans="1:26" ht="15.6" x14ac:dyDescent="0.3">
      <c r="A999" s="18" t="s">
        <v>5</v>
      </c>
      <c r="B999" s="24" t="s">
        <v>1004</v>
      </c>
      <c r="C999" s="2" t="str">
        <f ca="1">IFERROR(__xludf.DUMMYFUNCTION("GOOGLETRANSLATE(B999, ""bn"", ""en"")"),"44 people were killed in clashes due to religious hatred in Bandarban district. The police failed to stop the violence, the government ordered calm. Many families leave the village for security reasons.")</f>
        <v>44 people were killed in clashes due to religious hatred in Bandarban district. The police failed to stop the violence, the government ordered calm. Many families leave the village for security reasons.</v>
      </c>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6" x14ac:dyDescent="0.3">
      <c r="A1000" s="18" t="s">
        <v>5</v>
      </c>
      <c r="B1000" s="24" t="s">
        <v>1005</v>
      </c>
      <c r="C1000" s="2" t="str">
        <f ca="1">IFERROR(__xludf.DUMMYFUNCTION("GOOGLETRANSLATE(B1000, ""bn"", ""en"")"),"On 15 October 2021, Hindus were attacked in Begamganj, Noakhali, killing a priest and killing 14 people.")</f>
        <v>On 15 October 2021, Hindus were attacked in Begamganj, Noakhali, killing a priest and killing 14 people.</v>
      </c>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5.6" x14ac:dyDescent="0.3">
      <c r="A1001" s="19" t="s">
        <v>8</v>
      </c>
      <c r="B1001" s="26" t="s">
        <v>1006</v>
      </c>
      <c r="C1001" s="2" t="str">
        <f ca="1">IFERROR(__xludf.DUMMYFUNCTION("GOOGLETRANSLATE(B1001, ""bn"", ""en"")"),"On October 30, 2016, Hindu houses and temples were attacked in Nasir Nagar in Brahmanbaria on the pretext of a Facebook post by a young man named Rasraj. But investigation revealed that Rasraj was an illiterate fisherman A fake ID was opened in his name")</f>
        <v>On October 30, 2016, Hindu houses and temples were attacked in Nasir Nagar in Brahmanbaria on the pretext of a Facebook post by a young man named Rasraj. But investigation revealed that Rasraj was an illiterate fisherman A fake ID was opened in his name</v>
      </c>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5.6" x14ac:dyDescent="0.3">
      <c r="A1002" s="18" t="s">
        <v>23</v>
      </c>
      <c r="B1002" s="24" t="s">
        <v>1007</v>
      </c>
      <c r="C1002" s="2" t="str">
        <f ca="1">IFERROR(__xludf.DUMMYFUNCTION("GOOGLETRANSLATE(B1002, ""bn"", ""en"")"),"Many a time, some religious people spread empty rhetoric to make their religion superior to others which increases communal divide.")</f>
        <v>Many a time, some religious people spread empty rhetoric to make their religion superior to others which increases communal divide.</v>
      </c>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5.6" x14ac:dyDescent="0.3">
      <c r="A1003" s="18" t="s">
        <v>5</v>
      </c>
      <c r="B1003" s="25" t="s">
        <v>1008</v>
      </c>
      <c r="C1003" s="2" t="str">
        <f ca="1">IFERROR(__xludf.DUMMYFUNCTION("GOOGLETRANSLATE(B1003, ""bn"", ""en"")"),"Every moment thousands, millions of people are sick, suffering and countless people are dying in the world. Even the world is changing. Nothing in this world is permanent and imperishable. That is why the Tathagata Buddha said, 'Reluctance vat-sankhara, r"&amp;"eluctance dukkha anatta' means samskara sorrow, the destruction of everything is inevitable. So what is the conflict of interest in the world? What is war?")</f>
        <v>Every moment thousands, millions of people are sick, suffering and countless people are dying in the world. Even the world is changing. Nothing in this world is permanent and imperishable. That is why the Tathagata Buddha said, 'Reluctance vat-sankhara, reluctance dukkha anatta' means samskara sorrow, the destruction of everything is inevitable. So what is the conflict of interest in the world? What is war?</v>
      </c>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5.6" x14ac:dyDescent="0.3">
      <c r="A1004" s="18" t="s">
        <v>3</v>
      </c>
      <c r="B1004" s="25" t="s">
        <v>1009</v>
      </c>
      <c r="C1004" s="2" t="str">
        <f ca="1">IFERROR(__xludf.DUMMYFUNCTION("GOOGLETRANSLATE(B1004, ""bn"", ""en"")"),"Due to lack of space for worshippers, the mosque is being reconstructed on the land of the 75-year-old mosque established in 1949.")</f>
        <v>Due to lack of space for worshippers, the mosque is being reconstructed on the land of the 75-year-old mosque established in 1949.</v>
      </c>
      <c r="D1004" s="7"/>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5.6" x14ac:dyDescent="0.3">
      <c r="A1005" s="18" t="s">
        <v>3</v>
      </c>
      <c r="B1005" s="25" t="s">
        <v>1010</v>
      </c>
      <c r="C1005" s="2" t="str">
        <f ca="1">IFERROR(__xludf.DUMMYFUNCTION("GOOGLETRANSLATE(B1005, ""bn"", ""en"")"),"The followers of Islam are called Muslims. The fundamental belief of Islam is ""Belief in the Oneness of God.""")</f>
        <v>The followers of Islam are called Muslims. The fundamental belief of Islam is "Belief in the Oneness of God."</v>
      </c>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spans="1:26" ht="15.6" x14ac:dyDescent="0.3">
      <c r="A1006" s="18" t="s">
        <v>23</v>
      </c>
      <c r="B1006" s="25" t="s">
        <v>1011</v>
      </c>
      <c r="C1006" s="2" t="str">
        <f ca="1">IFERROR(__xludf.DUMMYFUNCTION("GOOGLETRANSLATE(B1006, ""bn"", ""en"")"),"He was brought to court and asked for four days remand, but the judge granted two days remand. The name of the arrested youth is Sujan Kumar. His home is in Lalpur upazila of Natore. It is known that Sujan Kumar had opened a Facebook ID under the name of "&amp;"Hasan Rouhani while concealing his identity and was making religious inciting comments.")</f>
        <v>He was brought to court and asked for four days remand, but the judge granted two days remand. The name of the arrested youth is Sujan Kumar. His home is in Lalpur upazila of Natore. It is known that Sujan Kumar had opened a Facebook ID under the name of Hasan Rouhani while concealing his identity and was making religious inciting comments.</v>
      </c>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spans="1:26" ht="15.6" x14ac:dyDescent="0.3">
      <c r="A1007" s="19" t="s">
        <v>3</v>
      </c>
      <c r="B1007" s="26" t="s">
        <v>1012</v>
      </c>
      <c r="C1007" s="2" t="str">
        <f ca="1">IFERROR(__xludf.DUMMYFUNCTION("GOOGLETRANSLATE(B1007, ""bn"", ""en"")"),"In fact, the idea that people have about religion is completely wrong. As a result of which so many problems are created, religion is not exactly like that. We see all the religions of the world so far.")</f>
        <v>In fact, the idea that people have about religion is completely wrong. As a result of which so many problems are created, religion is not exactly like that. We see all the religions of the world so far.</v>
      </c>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spans="1:26" ht="19.5" customHeight="1" x14ac:dyDescent="0.3">
      <c r="A1008" s="19" t="s">
        <v>5</v>
      </c>
      <c r="B1008" s="26" t="s">
        <v>1013</v>
      </c>
      <c r="C1008" s="2" t="str">
        <f ca="1">IFERROR(__xludf.DUMMYFUNCTION("GOOGLETRANSLATE(B1008, ""bn"", ""en"")"),"A Hindu was killed there again. By evening, more than 25,000 Hindus gathered at Lakshminarayan Cotton Mill Square to save their lives. All these desperate Hindus did not receive even a drop of water from anywhere for four consecutive days till January 20."&amp;" As a result, they had to spend four days without food and drink.")</f>
        <v>A Hindu was killed there again. By evening, more than 25,000 Hindus gathered at Lakshminarayan Cotton Mill Square to save their lives. All these desperate Hindus did not receive even a drop of water from anywhere for four consecutive days till January 20. As a result, they had to spend four days without food and drink.</v>
      </c>
      <c r="D1008" s="7"/>
      <c r="E1008" s="7"/>
      <c r="F1008" s="7"/>
      <c r="G1008" s="7"/>
      <c r="H1008" s="7"/>
      <c r="I1008" s="7"/>
      <c r="J1008" s="7"/>
      <c r="K1008" s="5"/>
      <c r="L1008" s="5"/>
      <c r="M1008" s="5"/>
      <c r="N1008" s="5"/>
      <c r="O1008" s="5"/>
      <c r="P1008" s="5"/>
      <c r="Q1008" s="5"/>
      <c r="R1008" s="5"/>
      <c r="S1008" s="5"/>
      <c r="T1008" s="5"/>
      <c r="U1008" s="5"/>
      <c r="V1008" s="5"/>
      <c r="W1008" s="5"/>
      <c r="X1008" s="5"/>
      <c r="Y1008" s="5"/>
      <c r="Z1008" s="5"/>
    </row>
    <row r="1009" spans="1:26" ht="15.6" x14ac:dyDescent="0.3">
      <c r="A1009" s="18" t="s">
        <v>8</v>
      </c>
      <c r="B1009" s="24" t="s">
        <v>1014</v>
      </c>
      <c r="C1009" s="2" t="str">
        <f ca="1">IFERROR(__xludf.DUMMYFUNCTION("GOOGLETRANSLATE(B1009, ""bn"", ""en"")"),"The miscreants broke into an old Vishnu temple in Damurhuda upazila of Chuadanga and cut off the face of the idol and donation vessel.")</f>
        <v>The miscreants broke into an old Vishnu temple in Damurhuda upazila of Chuadanga and cut off the face of the idol and donation vessel.</v>
      </c>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spans="1:26" ht="15.6" x14ac:dyDescent="0.3">
      <c r="A1010" s="19" t="s">
        <v>3</v>
      </c>
      <c r="B1010" s="26" t="s">
        <v>1015</v>
      </c>
      <c r="C1010" s="2" t="str">
        <f ca="1">IFERROR(__xludf.DUMMYFUNCTION("GOOGLETRANSLATE(B1010, ""bn"", ""en"")"),"University is a secular place. Here Muslims will learn the Quran in public, Sahri, Iftar, and pray in congregation. Players will play sports.")</f>
        <v>University is a secular place. Here Muslims will learn the Quran in public, Sahri, Iftar, and pray in congregation. Players will play sports.</v>
      </c>
      <c r="D1010" s="7"/>
      <c r="E1010" s="7"/>
      <c r="F1010" s="7"/>
      <c r="G1010" s="7"/>
      <c r="H1010" s="7"/>
      <c r="I1010" s="7"/>
      <c r="J1010" s="7"/>
      <c r="K1010" s="7"/>
      <c r="L1010" s="7"/>
      <c r="M1010" s="7"/>
      <c r="N1010" s="5"/>
      <c r="O1010" s="5"/>
      <c r="P1010" s="5"/>
      <c r="Q1010" s="5"/>
      <c r="R1010" s="5"/>
      <c r="S1010" s="5"/>
      <c r="T1010" s="5"/>
      <c r="U1010" s="5"/>
      <c r="V1010" s="5"/>
      <c r="W1010" s="5"/>
      <c r="X1010" s="5"/>
      <c r="Y1010" s="5"/>
      <c r="Z1010" s="5"/>
    </row>
    <row r="1011" spans="1:26" ht="15.6" x14ac:dyDescent="0.3">
      <c r="A1011" s="18" t="s">
        <v>23</v>
      </c>
      <c r="B1011" s="25" t="s">
        <v>1016</v>
      </c>
      <c r="C1011" s="2" t="str">
        <f ca="1">IFERROR(__xludf.DUMMYFUNCTION("GOOGLETRANSLATE(B1011, ""bn"", ""en"")"),"I accept the responsibility of my religion and caste identity to you. Admittedly, today you are deprived of higher education and higher positions because I and my caste brothers have axed all opportunities with the opportunity of majority.")</f>
        <v>I accept the responsibility of my religion and caste identity to you. Admittedly, today you are deprived of higher education and higher positions because I and my caste brothers have axed all opportunities with the opportunity of majority.</v>
      </c>
      <c r="D1011" s="6"/>
      <c r="E1011" s="6"/>
      <c r="F1011" s="6"/>
      <c r="G1011" s="6"/>
      <c r="H1011" s="5"/>
      <c r="I1011" s="5"/>
      <c r="J1011" s="5"/>
      <c r="K1011" s="5"/>
      <c r="L1011" s="5"/>
      <c r="M1011" s="5"/>
      <c r="N1011" s="5"/>
      <c r="O1011" s="5"/>
      <c r="P1011" s="5"/>
      <c r="Q1011" s="5"/>
      <c r="R1011" s="5"/>
      <c r="S1011" s="5"/>
      <c r="T1011" s="5"/>
      <c r="U1011" s="5"/>
      <c r="V1011" s="5"/>
      <c r="W1011" s="5"/>
      <c r="X1011" s="5"/>
      <c r="Y1011" s="5"/>
      <c r="Z1011" s="5"/>
    </row>
    <row r="1012" spans="1:26" ht="15.6" x14ac:dyDescent="0.3">
      <c r="A1012" s="18" t="s">
        <v>23</v>
      </c>
      <c r="B1012" s="25" t="s">
        <v>1017</v>
      </c>
      <c r="C1012" s="2" t="str">
        <f ca="1">IFERROR(__xludf.DUMMYFUNCTION("GOOGLETRANSLATE(B1012, ""bn"", ""en"")"),"In Kotalipara Upazila, a group of Muslims gathered at the Hindu girl's house to forcefully abduct the Hindu girl.")</f>
        <v>In Kotalipara Upazila, a group of Muslims gathered at the Hindu girl's house to forcefully abduct the Hindu girl.</v>
      </c>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spans="1:26" ht="15.6" x14ac:dyDescent="0.3">
      <c r="A1013" s="18" t="s">
        <v>5</v>
      </c>
      <c r="B1013" s="24" t="s">
        <v>1018</v>
      </c>
      <c r="C1013" s="2" t="str">
        <f ca="1">IFERROR(__xludf.DUMMYFUNCTION("GOOGLETRANSLATE(B1013, ""bn"", ""en"")"),"In September 2017, 29 people were killed in clashes between a group of religious groups; There is extensive damage.")</f>
        <v>In September 2017, 29 people were killed in clashes between a group of religious groups; There is extensive damage.</v>
      </c>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spans="1:26" ht="15.6" x14ac:dyDescent="0.3">
      <c r="A1014" s="18" t="s">
        <v>8</v>
      </c>
      <c r="B1014" s="25" t="s">
        <v>1019</v>
      </c>
      <c r="C1014" s="2" t="str">
        <f ca="1">IFERROR(__xludf.DUMMYFUNCTION("GOOGLETRANSLATE(B1014, ""bn"", ""en"")"),"Buddhist temple attacked and vandalized in Ukhia")</f>
        <v>Buddhist temple attacked and vandalized in Ukhia</v>
      </c>
      <c r="D1014" s="7"/>
      <c r="E1014" s="7"/>
      <c r="F1014" s="7"/>
      <c r="G1014" s="7"/>
      <c r="H1014" s="5"/>
      <c r="I1014" s="5"/>
      <c r="J1014" s="5"/>
      <c r="K1014" s="5"/>
      <c r="L1014" s="5"/>
      <c r="M1014" s="5"/>
      <c r="N1014" s="5"/>
      <c r="O1014" s="5"/>
      <c r="P1014" s="5"/>
      <c r="Q1014" s="5"/>
      <c r="R1014" s="5"/>
      <c r="S1014" s="5"/>
      <c r="T1014" s="5"/>
      <c r="U1014" s="5"/>
      <c r="V1014" s="5"/>
      <c r="W1014" s="5"/>
      <c r="X1014" s="5"/>
      <c r="Y1014" s="5"/>
      <c r="Z1014" s="5"/>
    </row>
    <row r="1015" spans="1:26" ht="15.6" x14ac:dyDescent="0.3">
      <c r="A1015" s="18" t="s">
        <v>23</v>
      </c>
      <c r="B1015" s="25" t="s">
        <v>1020</v>
      </c>
      <c r="C1015" s="2" t="str">
        <f ca="1">IFERROR(__xludf.DUMMYFUNCTION("GOOGLETRANSLATE(B1015, ""bn"", ""en"")"),"He told the Hindus to give the money instead of performing the puja.")</f>
        <v>He told the Hindus to give the money instead of performing the puja.</v>
      </c>
      <c r="D1015" s="7"/>
      <c r="E1015" s="7"/>
      <c r="F1015" s="7"/>
      <c r="G1015" s="7"/>
      <c r="H1015" s="7"/>
      <c r="I1015" s="7"/>
      <c r="J1015" s="5"/>
      <c r="K1015" s="5"/>
      <c r="L1015" s="5"/>
      <c r="M1015" s="5"/>
      <c r="N1015" s="5"/>
      <c r="O1015" s="5"/>
      <c r="P1015" s="5"/>
      <c r="Q1015" s="5"/>
      <c r="R1015" s="5"/>
      <c r="S1015" s="5"/>
      <c r="T1015" s="5"/>
      <c r="U1015" s="5"/>
      <c r="V1015" s="5"/>
      <c r="W1015" s="5"/>
      <c r="X1015" s="5"/>
      <c r="Y1015" s="5"/>
      <c r="Z1015" s="5"/>
    </row>
    <row r="1016" spans="1:26" ht="15.6" x14ac:dyDescent="0.3">
      <c r="A1016" s="19" t="s">
        <v>3</v>
      </c>
      <c r="B1016" s="26" t="s">
        <v>1021</v>
      </c>
      <c r="C1016" s="2" t="str">
        <f ca="1">IFERROR(__xludf.DUMMYFUNCTION("GOOGLETRANSLATE(B1016, ""bn"", ""en"")"),"O Prophet! Tell your wives and your daughters and the women of the believers that they should draw some part of their cloak over themselves (when they go out of the house), so that they will be recognized and they will not be molested. Allah is Most Forgi"&amp;"ving, Most Merciful.")</f>
        <v>O Prophet! Tell your wives and your daughters and the women of the believers that they should draw some part of their cloak over themselves (when they go out of the house), so that they will be recognized and they will not be molested. Allah is Most Forgiving, Most Merciful.</v>
      </c>
      <c r="D1016" s="7"/>
      <c r="E1016" s="7"/>
      <c r="F1016" s="7"/>
      <c r="G1016" s="7"/>
      <c r="H1016" s="7"/>
      <c r="I1016" s="5"/>
      <c r="J1016" s="5"/>
      <c r="K1016" s="5"/>
      <c r="L1016" s="5"/>
      <c r="M1016" s="5"/>
      <c r="N1016" s="5"/>
      <c r="O1016" s="5"/>
      <c r="P1016" s="5"/>
      <c r="Q1016" s="5"/>
      <c r="R1016" s="5"/>
      <c r="S1016" s="5"/>
      <c r="T1016" s="5"/>
      <c r="U1016" s="5"/>
      <c r="V1016" s="5"/>
      <c r="W1016" s="5"/>
      <c r="X1016" s="5"/>
      <c r="Y1016" s="5"/>
      <c r="Z1016" s="5"/>
    </row>
    <row r="1017" spans="1:26" ht="15.6" x14ac:dyDescent="0.3">
      <c r="A1017" s="18" t="s">
        <v>23</v>
      </c>
      <c r="B1017" s="25" t="s">
        <v>1022</v>
      </c>
      <c r="C1017" s="2" t="str">
        <f ca="1">IFERROR(__xludf.DUMMYFUNCTION("GOOGLETRANSLATE(B1017, ""bn"", ""en"")"),"What happens if you apologize??? A law should be made that no religious book can be insulted, no religion can be ridiculed. If you do, you will be punished severely.")</f>
        <v>What happens if you apologize??? A law should be made that no religious book can be insulted, no religion can be ridiculed. If you do, you will be punished severely.</v>
      </c>
      <c r="D1017" s="2"/>
      <c r="E1017" s="2"/>
      <c r="F1017" s="2"/>
      <c r="G1017" s="2"/>
      <c r="H1017" s="5"/>
      <c r="I1017" s="5"/>
      <c r="J1017" s="5"/>
      <c r="K1017" s="5"/>
      <c r="L1017" s="5"/>
      <c r="M1017" s="5"/>
      <c r="N1017" s="5"/>
      <c r="O1017" s="5"/>
      <c r="P1017" s="5"/>
      <c r="Q1017" s="5"/>
      <c r="R1017" s="5"/>
      <c r="S1017" s="5"/>
      <c r="T1017" s="5"/>
      <c r="U1017" s="5"/>
      <c r="V1017" s="5"/>
      <c r="W1017" s="5"/>
      <c r="X1017" s="5"/>
      <c r="Y1017" s="5"/>
      <c r="Z1017" s="5"/>
    </row>
    <row r="1018" spans="1:26" ht="15.6" x14ac:dyDescent="0.3">
      <c r="A1018" s="18" t="s">
        <v>8</v>
      </c>
      <c r="B1018" s="25" t="s">
        <v>1023</v>
      </c>
      <c r="C1018" s="2" t="str">
        <f ca="1">IFERROR(__xludf.DUMMYFUNCTION("GOOGLETRANSLATE(B1018, ""bn"", ""en"")"),"Repeated attacks on Hindu places of worship outside Bangladesh and the deprivation of constitutional rights of religious minorities are manifestations of systematic religious persecution and vandalism.")</f>
        <v>Repeated attacks on Hindu places of worship outside Bangladesh and the deprivation of constitutional rights of religious minorities are manifestations of systematic religious persecution and vandalism.</v>
      </c>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spans="1:26" ht="15.6" x14ac:dyDescent="0.3">
      <c r="A1019" s="18" t="s">
        <v>23</v>
      </c>
      <c r="B1019" s="25" t="s">
        <v>1024</v>
      </c>
      <c r="C1019" s="2" t="str">
        <f ca="1">IFERROR(__xludf.DUMMYFUNCTION("GOOGLETRANSLATE(B1019, ""bn"", ""en"")"),"After beheading the village prince Pal, the villagers threatened Aartiprabha Shurray's family to marry her as a Muslim and abducted her.")</f>
        <v>After beheading the village prince Pal, the villagers threatened Aartiprabha Shurray's family to marry her as a Muslim and abducted her.</v>
      </c>
      <c r="D1019" s="2"/>
      <c r="E1019" s="2"/>
      <c r="F1019" s="2"/>
      <c r="G1019" s="2"/>
      <c r="H1019" s="3"/>
      <c r="I1019" s="3"/>
      <c r="J1019" s="3"/>
      <c r="K1019" s="3"/>
      <c r="L1019" s="3"/>
      <c r="M1019" s="3"/>
      <c r="N1019" s="3"/>
      <c r="O1019" s="3"/>
      <c r="P1019" s="3"/>
      <c r="Q1019" s="3"/>
      <c r="R1019" s="3"/>
      <c r="S1019" s="3"/>
      <c r="T1019" s="3"/>
      <c r="U1019" s="3"/>
      <c r="V1019" s="3"/>
      <c r="W1019" s="3"/>
      <c r="X1019" s="3"/>
      <c r="Y1019" s="3"/>
      <c r="Z1019" s="3"/>
    </row>
    <row r="1020" spans="1:26" ht="15.6" x14ac:dyDescent="0.3">
      <c r="A1020" s="18" t="s">
        <v>23</v>
      </c>
      <c r="B1020" s="25" t="s">
        <v>1025</v>
      </c>
      <c r="C1020" s="2" t="str">
        <f ca="1">IFERROR(__xludf.DUMMYFUNCTION("GOOGLETRANSLATE(B1020, ""bn"", ""en"")"),"If the holy religious books of Hindus, Christians or Jews are burned in this way, how will they get cost? We Muslims are getting the same cost. How can they call their religion big by belittling other religions like this and costing people of other religi"&amp;"ons like this?")</f>
        <v>If the holy religious books of Hindus, Christians or Jews are burned in this way, how will they get cost? We Muslims are getting the same cost. How can they call their religion big by belittling other religions like this and costing people of other religions like this?</v>
      </c>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spans="1:26" ht="15.6" x14ac:dyDescent="0.3">
      <c r="A1021" s="18" t="s">
        <v>8</v>
      </c>
      <c r="B1021" s="25" t="s">
        <v>1026</v>
      </c>
      <c r="C1021" s="2" t="str">
        <f ca="1">IFERROR(__xludf.DUMMYFUNCTION("GOOGLETRANSLATE(B1021, ""bn"", ""en"")"),"A bomb attack at a mosque in Islampur while calling for adhan")</f>
        <v>A bomb attack at a mosque in Islampur while calling for adhan</v>
      </c>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row r="1022" spans="1:26" ht="15.6" x14ac:dyDescent="0.3">
      <c r="A1022" s="19" t="s">
        <v>5</v>
      </c>
      <c r="B1022" s="26" t="s">
        <v>1027</v>
      </c>
      <c r="C1022" s="2" t="str">
        <f ca="1">IFERROR(__xludf.DUMMYFUNCTION("GOOGLETRANSLATE(B1022, ""bn"", ""en"")"),"Naresh Kumar said, ""Apart from defaming the name of Buddha, these Brahminical revivalists urged Hindu kings to persecute or even kill innocent Buddhists. Shashanka, the Saiva Brahmin king of Bengal, killed Rajyavardhan, the elder brother of the last Budd"&amp;"hist emperor, Harshavardhan, in 605 AD.")</f>
        <v>Naresh Kumar said, "Apart from defaming the name of Buddha, these Brahminical revivalists urged Hindu kings to persecute or even kill innocent Buddhists. Shashanka, the Saiva Brahmin king of Bengal, killed Rajyavardhan, the elder brother of the last Buddhist emperor, Harshavardhan, in 605 AD.</v>
      </c>
      <c r="D1022" s="7"/>
      <c r="E1022" s="7"/>
      <c r="F1022" s="7"/>
      <c r="G1022" s="7"/>
      <c r="H1022" s="7"/>
      <c r="I1022" s="5"/>
      <c r="J1022" s="5"/>
      <c r="K1022" s="5"/>
      <c r="L1022" s="5"/>
      <c r="M1022" s="5"/>
      <c r="N1022" s="5"/>
      <c r="O1022" s="5"/>
      <c r="P1022" s="5"/>
      <c r="Q1022" s="5"/>
      <c r="R1022" s="5"/>
      <c r="S1022" s="5"/>
      <c r="T1022" s="5"/>
      <c r="U1022" s="5"/>
      <c r="V1022" s="5"/>
      <c r="W1022" s="5"/>
      <c r="X1022" s="5"/>
      <c r="Y1022" s="5"/>
      <c r="Z1022" s="5"/>
    </row>
    <row r="1023" spans="1:26" ht="15.6" x14ac:dyDescent="0.3">
      <c r="A1023" s="19" t="s">
        <v>3</v>
      </c>
      <c r="B1023" s="26" t="s">
        <v>1028</v>
      </c>
      <c r="C1023" s="2" t="str">
        <f ca="1">IFERROR(__xludf.DUMMYFUNCTION("GOOGLETRANSLATE(B1023, ""bn"", ""en"")"),"Islam's mainstay is extreme monotheism; Hence polytheistic doctrines or practices are strictly prohibited in this religion.")</f>
        <v>Islam's mainstay is extreme monotheism; Hence polytheistic doctrines or practices are strictly prohibited in this religion.</v>
      </c>
      <c r="D1023" s="7"/>
      <c r="E1023" s="7"/>
      <c r="F1023" s="7"/>
      <c r="G1023" s="5"/>
      <c r="H1023" s="5"/>
      <c r="I1023" s="5"/>
      <c r="J1023" s="5"/>
      <c r="K1023" s="5"/>
      <c r="L1023" s="5"/>
      <c r="M1023" s="5"/>
      <c r="N1023" s="5"/>
      <c r="O1023" s="5"/>
      <c r="P1023" s="5"/>
      <c r="Q1023" s="5"/>
      <c r="R1023" s="5"/>
      <c r="S1023" s="5"/>
      <c r="T1023" s="5"/>
      <c r="U1023" s="5"/>
      <c r="V1023" s="5"/>
      <c r="W1023" s="5"/>
      <c r="X1023" s="5"/>
      <c r="Y1023" s="5"/>
      <c r="Z1023" s="5"/>
    </row>
    <row r="1024" spans="1:26" ht="15.6" x14ac:dyDescent="0.3">
      <c r="A1024" s="19" t="s">
        <v>3</v>
      </c>
      <c r="B1024" s="26" t="s">
        <v>1029</v>
      </c>
      <c r="C1024" s="2" t="str">
        <f ca="1">IFERROR(__xludf.DUMMYFUNCTION("GOOGLETRANSLATE(B1024, ""bn"", ""en"")"),"There is no contradiction in feminism in Islam; Social participation of women is recognized.")</f>
        <v>There is no contradiction in feminism in Islam; Social participation of women is recognized.</v>
      </c>
      <c r="D1024" s="5"/>
      <c r="E1024" s="5"/>
      <c r="F1024" s="5"/>
      <c r="G1024" s="5"/>
      <c r="H1024" s="5"/>
      <c r="I1024" s="5"/>
      <c r="J1024" s="5"/>
      <c r="K1024" s="5"/>
      <c r="L1024" s="5"/>
      <c r="M1024" s="5"/>
      <c r="N1024" s="5"/>
      <c r="O1024" s="5"/>
      <c r="P1024" s="5"/>
      <c r="Q1024" s="5"/>
      <c r="R1024" s="5"/>
      <c r="S1024" s="5"/>
      <c r="T1024" s="5"/>
      <c r="U1024" s="5"/>
      <c r="V1024" s="5"/>
      <c r="W1024" s="5"/>
      <c r="X1024" s="5"/>
      <c r="Y1024" s="5"/>
      <c r="Z1024" s="5"/>
    </row>
    <row r="1025" spans="1:26" ht="15.6" x14ac:dyDescent="0.3">
      <c r="A1025" s="18" t="s">
        <v>5</v>
      </c>
      <c r="B1025" s="25" t="s">
        <v>1030</v>
      </c>
      <c r="C1025" s="2" t="str">
        <f ca="1">IFERROR(__xludf.DUMMYFUNCTION("GOOGLETRANSLATE(B1025, ""bn"", ""en"")"),"""Rape of Thirteen-Year-Old Daughter in Front of Bisexual Mother in Public in a Secular Democratic Free State""")</f>
        <v>"Rape of Thirteen-Year-Old Daughter in Front of Bisexual Mother in Public in a Secular Democratic Free State"</v>
      </c>
      <c r="D1025" s="5"/>
      <c r="E1025" s="5"/>
      <c r="F1025" s="5"/>
      <c r="G1025" s="5"/>
      <c r="H1025" s="5"/>
      <c r="I1025" s="5"/>
      <c r="J1025" s="5"/>
      <c r="K1025" s="5"/>
      <c r="L1025" s="5"/>
      <c r="M1025" s="5"/>
      <c r="N1025" s="5"/>
      <c r="O1025" s="5"/>
      <c r="P1025" s="5"/>
      <c r="Q1025" s="5"/>
      <c r="R1025" s="5"/>
      <c r="S1025" s="5"/>
      <c r="T1025" s="5"/>
      <c r="U1025" s="5"/>
      <c r="V1025" s="5"/>
      <c r="W1025" s="5"/>
      <c r="X1025" s="5"/>
      <c r="Y1025" s="5"/>
      <c r="Z1025" s="5"/>
    </row>
    <row r="1026" spans="1:26" ht="15.6" x14ac:dyDescent="0.3">
      <c r="A1026" s="18" t="s">
        <v>23</v>
      </c>
      <c r="B1026" s="25" t="s">
        <v>1031</v>
      </c>
      <c r="C1026" s="2" t="str">
        <f ca="1">IFERROR(__xludf.DUMMYFUNCTION("GOOGLETRANSLATE(B1026, ""bn"", ""en"")"),"Many people on Facebook try to read Shaikhul Hadith or Purohit Pandit or Father, but in reality, many of us have very limited knowledge about religion.")</f>
        <v>Many people on Facebook try to read Shaikhul Hadith or Purohit Pandit or Father, but in reality, many of us have very limited knowledge about religion.</v>
      </c>
      <c r="D1026" s="5"/>
      <c r="E1026" s="5"/>
      <c r="F1026" s="5"/>
      <c r="G1026" s="5"/>
      <c r="H1026" s="5"/>
      <c r="I1026" s="5"/>
      <c r="J1026" s="5"/>
      <c r="K1026" s="5"/>
      <c r="L1026" s="5"/>
      <c r="M1026" s="5"/>
      <c r="N1026" s="5"/>
      <c r="O1026" s="5"/>
      <c r="P1026" s="5"/>
      <c r="Q1026" s="5"/>
      <c r="R1026" s="5"/>
      <c r="S1026" s="5"/>
      <c r="T1026" s="5"/>
      <c r="U1026" s="5"/>
      <c r="V1026" s="5"/>
      <c r="W1026" s="5"/>
      <c r="X1026" s="5"/>
      <c r="Y1026" s="5"/>
      <c r="Z1026" s="5"/>
    </row>
    <row r="1027" spans="1:26" ht="15.6" x14ac:dyDescent="0.3">
      <c r="A1027" s="18" t="s">
        <v>3</v>
      </c>
      <c r="B1027" s="25" t="s">
        <v>1032</v>
      </c>
      <c r="C1027" s="2" t="str">
        <f ca="1">IFERROR(__xludf.DUMMYFUNCTION("GOOGLETRANSLATE(B1027, ""bn"", ""en"")"),"Why does a person convert from orthodox religion to Islam? Analysis and Discussion by a Scholar – Jitendriya Prabhu's Servant.")</f>
        <v>Why does a person convert from orthodox religion to Islam? Analysis and Discussion by a Scholar – Jitendriya Prabhu's Servant.</v>
      </c>
      <c r="D1027" s="5"/>
      <c r="E1027" s="5"/>
      <c r="F1027" s="5"/>
      <c r="G1027" s="5"/>
      <c r="H1027" s="5"/>
      <c r="I1027" s="5"/>
      <c r="J1027" s="5"/>
      <c r="K1027" s="5"/>
      <c r="L1027" s="5"/>
      <c r="M1027" s="5"/>
      <c r="N1027" s="5"/>
      <c r="O1027" s="5"/>
      <c r="P1027" s="5"/>
      <c r="Q1027" s="5"/>
      <c r="R1027" s="5"/>
      <c r="S1027" s="5"/>
      <c r="T1027" s="5"/>
      <c r="U1027" s="5"/>
      <c r="V1027" s="5"/>
      <c r="W1027" s="5"/>
      <c r="X1027" s="5"/>
      <c r="Y1027" s="5"/>
      <c r="Z1027" s="5"/>
    </row>
    <row r="1028" spans="1:26" ht="15.6" x14ac:dyDescent="0.3">
      <c r="A1028" s="18" t="s">
        <v>3</v>
      </c>
      <c r="B1028" s="25" t="s">
        <v>1033</v>
      </c>
      <c r="C1028" s="2" t="str">
        <f ca="1">IFERROR(__xludf.DUMMYFUNCTION("GOOGLETRANSLATE(B1028, ""bn"", ""en"")"),"The philosophy of Buddhism is basically a happy, peaceful and meaningful life")</f>
        <v>The philosophy of Buddhism is basically a happy, peaceful and meaningful life</v>
      </c>
      <c r="D1028" s="5"/>
      <c r="E1028" s="5"/>
      <c r="F1028" s="5"/>
      <c r="G1028" s="5"/>
      <c r="H1028" s="5"/>
      <c r="I1028" s="5"/>
      <c r="J1028" s="5"/>
      <c r="K1028" s="5"/>
      <c r="L1028" s="5"/>
      <c r="M1028" s="5"/>
      <c r="N1028" s="5"/>
      <c r="O1028" s="5"/>
      <c r="P1028" s="5"/>
      <c r="Q1028" s="5"/>
      <c r="R1028" s="5"/>
      <c r="S1028" s="5"/>
      <c r="T1028" s="5"/>
      <c r="U1028" s="5"/>
      <c r="V1028" s="5"/>
      <c r="W1028" s="5"/>
      <c r="X1028" s="5"/>
      <c r="Y1028" s="5"/>
      <c r="Z1028" s="5"/>
    </row>
    <row r="1029" spans="1:26" ht="15.6" x14ac:dyDescent="0.3">
      <c r="A1029" s="19" t="s">
        <v>5</v>
      </c>
      <c r="B1029" s="26" t="s">
        <v>1034</v>
      </c>
      <c r="C1029" s="2" t="str">
        <f ca="1">IFERROR(__xludf.DUMMYFUNCTION("GOOGLETRANSLATE(B1029, ""bn"", ""en"")"),"On the day of the massacre of a teacher in France, the French president said that 'the history and culture of France will remain for those who can accept it. Strict action will be taken against those who attack freedom of speech. I gave a status on Facebo"&amp;"ok endorsing it.""")</f>
        <v>On the day of the massacre of a teacher in France, the French president said that 'the history and culture of France will remain for those who can accept it. Strict action will be taken against those who attack freedom of speech. I gave a status on Facebook endorsing it."</v>
      </c>
      <c r="D1029" s="7"/>
      <c r="E1029" s="7"/>
      <c r="F1029" s="7"/>
      <c r="G1029" s="7"/>
      <c r="H1029" s="7"/>
      <c r="I1029" s="5"/>
      <c r="J1029" s="5"/>
      <c r="K1029" s="5"/>
      <c r="L1029" s="5"/>
      <c r="M1029" s="5"/>
      <c r="N1029" s="5"/>
      <c r="O1029" s="5"/>
      <c r="P1029" s="5"/>
      <c r="Q1029" s="5"/>
      <c r="R1029" s="5"/>
      <c r="S1029" s="5"/>
      <c r="T1029" s="5"/>
      <c r="U1029" s="5"/>
      <c r="V1029" s="5"/>
      <c r="W1029" s="5"/>
      <c r="X1029" s="5"/>
      <c r="Y1029" s="5"/>
      <c r="Z1029" s="5"/>
    </row>
    <row r="1030" spans="1:26" ht="15.6" x14ac:dyDescent="0.3">
      <c r="A1030" s="18" t="s">
        <v>3</v>
      </c>
      <c r="B1030" s="25" t="s">
        <v>1035</v>
      </c>
      <c r="C1030" s="2" t="str">
        <f ca="1">IFERROR(__xludf.DUMMYFUNCTION("GOOGLETRANSLATE(B1030, ""bn"", ""en"")"),"""Hindu-Muslim harmony should be built through coexistence, where everyone can practice their religion peacefully. A harmonious Bangladesh should be built by respecting each other's religious beliefs.""")</f>
        <v>"Hindu-Muslim harmony should be built through coexistence, where everyone can practice their religion peacefully. A harmonious Bangladesh should be built by respecting each other's religious beliefs."</v>
      </c>
      <c r="D1030" s="5"/>
      <c r="E1030" s="5"/>
      <c r="F1030" s="5"/>
      <c r="G1030" s="5"/>
      <c r="H1030" s="5"/>
      <c r="I1030" s="5"/>
      <c r="J1030" s="5"/>
      <c r="K1030" s="5"/>
      <c r="L1030" s="5"/>
      <c r="M1030" s="5"/>
      <c r="N1030" s="5"/>
      <c r="O1030" s="5"/>
      <c r="P1030" s="5"/>
      <c r="Q1030" s="5"/>
      <c r="R1030" s="5"/>
      <c r="S1030" s="5"/>
      <c r="T1030" s="5"/>
      <c r="U1030" s="5"/>
      <c r="V1030" s="5"/>
      <c r="W1030" s="5"/>
      <c r="X1030" s="5"/>
      <c r="Y1030" s="5"/>
      <c r="Z1030" s="5"/>
    </row>
    <row r="1031" spans="1:26" ht="15.6" x14ac:dyDescent="0.3">
      <c r="A1031" s="18" t="s">
        <v>23</v>
      </c>
      <c r="B1031" s="24" t="s">
        <v>1036</v>
      </c>
      <c r="C1031" s="2" t="str">
        <f ca="1">IFERROR(__xludf.DUMMYFUNCTION("GOOGLETRANSLATE(B1031, ""bn"", ""en"")"),"Many in the Hindu community have violent attitudes towards other religions, undermining religious tolerance.")</f>
        <v>Many in the Hindu community have violent attitudes towards other religions, undermining religious tolerance.</v>
      </c>
      <c r="D1031" s="5"/>
      <c r="E1031" s="5"/>
      <c r="F1031" s="5"/>
      <c r="G1031" s="5"/>
      <c r="H1031" s="5"/>
      <c r="I1031" s="5"/>
      <c r="J1031" s="5"/>
      <c r="K1031" s="5"/>
      <c r="L1031" s="5"/>
      <c r="M1031" s="5"/>
      <c r="N1031" s="5"/>
      <c r="O1031" s="5"/>
      <c r="P1031" s="5"/>
      <c r="Q1031" s="5"/>
      <c r="R1031" s="5"/>
      <c r="S1031" s="5"/>
      <c r="T1031" s="5"/>
      <c r="U1031" s="5"/>
      <c r="V1031" s="5"/>
      <c r="W1031" s="5"/>
      <c r="X1031" s="5"/>
      <c r="Y1031" s="5"/>
      <c r="Z1031" s="5"/>
    </row>
    <row r="1032" spans="1:26" ht="15.6" x14ac:dyDescent="0.3">
      <c r="A1032" s="19" t="s">
        <v>3</v>
      </c>
      <c r="B1032" s="26" t="s">
        <v>1037</v>
      </c>
      <c r="C1032" s="2" t="str">
        <f ca="1">IFERROR(__xludf.DUMMYFUNCTION("GOOGLETRANSLATE(B1032, ""bn"", ""en"")"),"Every time I watch the video, I get a heavenly feeling. Alhamdulillah. Thank you to everyone at Baseera team.")</f>
        <v>Every time I watch the video, I get a heavenly feeling. Alhamdulillah. Thank you to everyone at Baseera team.</v>
      </c>
      <c r="D1032" s="5"/>
      <c r="E1032" s="5"/>
      <c r="F1032" s="5"/>
      <c r="G1032" s="5"/>
      <c r="H1032" s="5"/>
      <c r="I1032" s="5"/>
      <c r="J1032" s="5"/>
      <c r="K1032" s="5"/>
      <c r="L1032" s="5"/>
      <c r="M1032" s="5"/>
      <c r="N1032" s="5"/>
      <c r="O1032" s="5"/>
      <c r="P1032" s="5"/>
      <c r="Q1032" s="5"/>
      <c r="R1032" s="5"/>
      <c r="S1032" s="5"/>
      <c r="T1032" s="5"/>
      <c r="U1032" s="5"/>
      <c r="V1032" s="5"/>
      <c r="W1032" s="5"/>
      <c r="X1032" s="5"/>
      <c r="Y1032" s="5"/>
      <c r="Z1032" s="5"/>
    </row>
    <row r="1033" spans="1:26" ht="15.6" x14ac:dyDescent="0.3">
      <c r="A1033" s="18" t="s">
        <v>3</v>
      </c>
      <c r="B1033" s="25" t="s">
        <v>1038</v>
      </c>
      <c r="C1033" s="2" t="str">
        <f ca="1">IFERROR(__xludf.DUMMYFUNCTION("GOOGLETRANSLATE(B1033, ""bn"", ""en"")"),"I request you to perform ablution from home on Friday and perform Sunnah prayers at home and then come to the mosque. The sermon will be short in Friday prayers at the mosque. As a result, you will finish the Jumma prayer in a short time.")</f>
        <v>I request you to perform ablution from home on Friday and perform Sunnah prayers at home and then come to the mosque. The sermon will be short in Friday prayers at the mosque. As a result, you will finish the Jumma prayer in a short time.</v>
      </c>
      <c r="D1033" s="6"/>
      <c r="E1033" s="6"/>
      <c r="F1033" s="2"/>
      <c r="G1033" s="2"/>
      <c r="H1033" s="3"/>
      <c r="I1033" s="3"/>
      <c r="J1033" s="3"/>
      <c r="K1033" s="3"/>
      <c r="L1033" s="3"/>
      <c r="M1033" s="3"/>
      <c r="N1033" s="3"/>
      <c r="O1033" s="3"/>
      <c r="P1033" s="3"/>
      <c r="Q1033" s="3"/>
      <c r="R1033" s="3"/>
      <c r="S1033" s="3"/>
      <c r="T1033" s="3"/>
      <c r="U1033" s="3"/>
      <c r="V1033" s="3"/>
      <c r="W1033" s="3"/>
      <c r="X1033" s="3"/>
      <c r="Y1033" s="3"/>
      <c r="Z1033" s="3"/>
    </row>
    <row r="1034" spans="1:26" ht="15.6" x14ac:dyDescent="0.3">
      <c r="A1034" s="18" t="s">
        <v>8</v>
      </c>
      <c r="B1034" s="25" t="s">
        <v>1039</v>
      </c>
      <c r="C1034" s="2" t="str">
        <f ca="1">IFERROR(__xludf.DUMMYFUNCTION("GOOGLETRANSLATE(B1034, ""bn"", ""en"")"),"A crackdown on Benapul Islamists and a massive crackdown on anti-government Muslims in the city of Benapul.")</f>
        <v>A crackdown on Benapul Islamists and a massive crackdown on anti-government Muslims in the city of Benapul.</v>
      </c>
      <c r="D1034" s="5"/>
      <c r="E1034" s="5"/>
      <c r="F1034" s="5"/>
      <c r="G1034" s="5"/>
      <c r="H1034" s="5"/>
      <c r="I1034" s="5"/>
      <c r="J1034" s="5"/>
      <c r="K1034" s="5"/>
      <c r="L1034" s="5"/>
      <c r="M1034" s="5"/>
      <c r="N1034" s="5"/>
      <c r="O1034" s="5"/>
      <c r="P1034" s="5"/>
      <c r="Q1034" s="5"/>
      <c r="R1034" s="5"/>
      <c r="S1034" s="5"/>
      <c r="T1034" s="5"/>
      <c r="U1034" s="5"/>
      <c r="V1034" s="5"/>
      <c r="W1034" s="5"/>
      <c r="X1034" s="5"/>
      <c r="Y1034" s="5"/>
      <c r="Z1034" s="5"/>
    </row>
    <row r="1035" spans="1:26" ht="15.6" x14ac:dyDescent="0.3">
      <c r="A1035" s="18" t="s">
        <v>3</v>
      </c>
      <c r="B1035" s="25" t="s">
        <v>1040</v>
      </c>
      <c r="C1035" s="2" t="str">
        <f ca="1">IFERROR(__xludf.DUMMYFUNCTION("GOOGLETRANSLATE(B1035, ""bn"", ""en"")"),"Respect and respect for religion brings peace in this world and hereafter.")</f>
        <v>Respect and respect for religion brings peace in this world and hereafter.</v>
      </c>
      <c r="D1035" s="2"/>
      <c r="E1035" s="2"/>
      <c r="F1035" s="2"/>
      <c r="G1035" s="2"/>
      <c r="H1035" s="5"/>
      <c r="I1035" s="5"/>
      <c r="J1035" s="5"/>
      <c r="K1035" s="5"/>
      <c r="L1035" s="5"/>
      <c r="M1035" s="5"/>
      <c r="N1035" s="5"/>
      <c r="O1035" s="5"/>
      <c r="P1035" s="5"/>
      <c r="Q1035" s="5"/>
      <c r="R1035" s="5"/>
      <c r="S1035" s="5"/>
      <c r="T1035" s="5"/>
      <c r="U1035" s="5"/>
      <c r="V1035" s="5"/>
      <c r="W1035" s="5"/>
      <c r="X1035" s="5"/>
      <c r="Y1035" s="5"/>
      <c r="Z1035" s="5"/>
    </row>
    <row r="1036" spans="1:26" ht="15.6" x14ac:dyDescent="0.3">
      <c r="A1036" s="19" t="s">
        <v>23</v>
      </c>
      <c r="B1036" s="26" t="s">
        <v>1041</v>
      </c>
      <c r="C1036" s="2" t="str">
        <f ca="1">IFERROR(__xludf.DUMMYFUNCTION("GOOGLETRANSLATE(B1036, ""bn"", ""en"")"),"Facebook has become active with various comments or statuses on the two-phase announcement of the National Moon Sighting Committee on the sighting of the moon in the month of Shawwal in Bangladesh.")</f>
        <v>Facebook has become active with various comments or statuses on the two-phase announcement of the National Moon Sighting Committee on the sighting of the moon in the month of Shawwal in Bangladesh.</v>
      </c>
      <c r="D1036" s="5"/>
      <c r="E1036" s="5"/>
      <c r="F1036" s="5"/>
      <c r="G1036" s="5"/>
      <c r="H1036" s="5"/>
      <c r="I1036" s="5"/>
      <c r="J1036" s="5"/>
      <c r="K1036" s="5"/>
      <c r="L1036" s="5"/>
      <c r="M1036" s="5"/>
      <c r="N1036" s="5"/>
      <c r="O1036" s="5"/>
      <c r="P1036" s="5"/>
      <c r="Q1036" s="5"/>
      <c r="R1036" s="5"/>
      <c r="S1036" s="5"/>
      <c r="T1036" s="5"/>
      <c r="U1036" s="5"/>
      <c r="V1036" s="5"/>
      <c r="W1036" s="5"/>
      <c r="X1036" s="5"/>
      <c r="Y1036" s="5"/>
      <c r="Z1036" s="5"/>
    </row>
    <row r="1037" spans="1:26" ht="15.6" x14ac:dyDescent="0.3">
      <c r="A1037" s="19" t="s">
        <v>23</v>
      </c>
      <c r="B1037" s="26" t="s">
        <v>1042</v>
      </c>
      <c r="C1037" s="2" t="str">
        <f ca="1">IFERROR(__xludf.DUMMYFUNCTION("GOOGLETRANSLATE(B1037, ""bn"", ""en"")"),"Seeing a religious poster in Bangladesh, some local Muslims vowed revenge and threatened Hindu blood at a rally in Govinda Park on February 11.")</f>
        <v>Seeing a religious poster in Bangladesh, some local Muslims vowed revenge and threatened Hindu blood at a rally in Govinda Park on February 11.</v>
      </c>
      <c r="D1037" s="7"/>
      <c r="E1037" s="7"/>
      <c r="F1037" s="7"/>
      <c r="G1037" s="7"/>
      <c r="H1037" s="7"/>
      <c r="I1037" s="7"/>
      <c r="J1037" s="7"/>
      <c r="K1037" s="7"/>
      <c r="L1037" s="5"/>
      <c r="M1037" s="5"/>
      <c r="N1037" s="5"/>
      <c r="O1037" s="5"/>
      <c r="P1037" s="5"/>
      <c r="Q1037" s="5"/>
      <c r="R1037" s="5"/>
      <c r="S1037" s="5"/>
      <c r="T1037" s="5"/>
      <c r="U1037" s="5"/>
      <c r="V1037" s="5"/>
      <c r="W1037" s="5"/>
      <c r="X1037" s="5"/>
      <c r="Y1037" s="5"/>
      <c r="Z1037" s="5"/>
    </row>
    <row r="1038" spans="1:26" ht="15.6" x14ac:dyDescent="0.3">
      <c r="A1038" s="18" t="s">
        <v>3</v>
      </c>
      <c r="B1038" s="25" t="s">
        <v>1043</v>
      </c>
      <c r="C1038" s="2" t="str">
        <f ca="1">IFERROR(__xludf.DUMMYFUNCTION("GOOGLETRANSLATE(B1038, ""bn"", ""en"")"),"Bengali Hindus have often practiced rejoicing rather than viewing the Puja Parvan as a religious event, rather as a social festival, where social bonding is of paramount importance.")</f>
        <v>Bengali Hindus have often practiced rejoicing rather than viewing the Puja Parvan as a religious event, rather as a social festival, where social bonding is of paramount importance.</v>
      </c>
      <c r="D1038" s="2"/>
      <c r="E1038" s="2"/>
      <c r="F1038" s="2"/>
      <c r="G1038" s="2"/>
      <c r="H1038" s="3"/>
      <c r="I1038" s="3"/>
      <c r="J1038" s="3"/>
      <c r="K1038" s="3"/>
      <c r="L1038" s="3"/>
      <c r="M1038" s="3"/>
      <c r="N1038" s="3"/>
      <c r="O1038" s="3"/>
      <c r="P1038" s="3"/>
      <c r="Q1038" s="3"/>
      <c r="R1038" s="3"/>
      <c r="S1038" s="3"/>
      <c r="T1038" s="3"/>
      <c r="U1038" s="3"/>
      <c r="V1038" s="3"/>
      <c r="W1038" s="3"/>
      <c r="X1038" s="3"/>
      <c r="Y1038" s="3"/>
      <c r="Z1038" s="3"/>
    </row>
    <row r="1039" spans="1:26" ht="15.6" x14ac:dyDescent="0.3">
      <c r="A1039" s="18" t="s">
        <v>5</v>
      </c>
      <c r="B1039" s="24" t="s">
        <v>1044</v>
      </c>
      <c r="C1039" s="2" t="str">
        <f ca="1">IFERROR(__xludf.DUMMYFUNCTION("GOOGLETRANSLATE(B1039, ""bn"", ""en"")"),"47 people were killed in religious riots in Rajshahi. While the police failed to control the situation, the government preached a message of calm and tolerance. Many families leave the village due to lack of security.")</f>
        <v>47 people were killed in religious riots in Rajshahi. While the police failed to control the situation, the government preached a message of calm and tolerance. Many families leave the village due to lack of security.</v>
      </c>
      <c r="D1039" s="5"/>
      <c r="E1039" s="5"/>
      <c r="F1039" s="5"/>
      <c r="G1039" s="5"/>
      <c r="H1039" s="5"/>
      <c r="I1039" s="5"/>
      <c r="J1039" s="5"/>
      <c r="K1039" s="5"/>
      <c r="L1039" s="5"/>
      <c r="M1039" s="5"/>
      <c r="N1039" s="5"/>
      <c r="O1039" s="5"/>
      <c r="P1039" s="5"/>
      <c r="Q1039" s="5"/>
      <c r="R1039" s="5"/>
      <c r="S1039" s="5"/>
      <c r="T1039" s="5"/>
      <c r="U1039" s="5"/>
      <c r="V1039" s="5"/>
      <c r="W1039" s="5"/>
      <c r="X1039" s="5"/>
      <c r="Y1039" s="5"/>
      <c r="Z1039" s="5"/>
    </row>
    <row r="1040" spans="1:26" ht="15.6" x14ac:dyDescent="0.3">
      <c r="A1040" s="18" t="s">
        <v>8</v>
      </c>
      <c r="B1040" s="25" t="s">
        <v>1045</v>
      </c>
      <c r="C1040" s="2" t="str">
        <f ca="1">IFERROR(__xludf.DUMMYFUNCTION("GOOGLETRANSLATE(B1040, ""bn"", ""en"")"),"A Muslim student in the Czech Republic was physically assaulted by classmates for wearing a hijab at school.")</f>
        <v>A Muslim student in the Czech Republic was physically assaulted by classmates for wearing a hijab at school.</v>
      </c>
      <c r="D1040" s="5"/>
      <c r="E1040" s="5"/>
      <c r="F1040" s="5"/>
      <c r="G1040" s="5"/>
      <c r="H1040" s="5"/>
      <c r="I1040" s="5"/>
      <c r="J1040" s="5"/>
      <c r="K1040" s="5"/>
      <c r="L1040" s="5"/>
      <c r="M1040" s="5"/>
      <c r="N1040" s="5"/>
      <c r="O1040" s="5"/>
      <c r="P1040" s="5"/>
      <c r="Q1040" s="5"/>
      <c r="R1040" s="5"/>
      <c r="S1040" s="5"/>
      <c r="T1040" s="5"/>
      <c r="U1040" s="5"/>
      <c r="V1040" s="5"/>
      <c r="W1040" s="5"/>
      <c r="X1040" s="5"/>
      <c r="Y1040" s="5"/>
      <c r="Z1040" s="5"/>
    </row>
    <row r="1041" spans="1:26" ht="15.6" x14ac:dyDescent="0.3">
      <c r="A1041" s="18" t="s">
        <v>5</v>
      </c>
      <c r="B1041" s="25" t="s">
        <v>1046</v>
      </c>
      <c r="C1041" s="2" t="str">
        <f ca="1">IFERROR(__xludf.DUMMYFUNCTION("GOOGLETRANSLATE(B1041, ""bn"", ""en"")"),"Gandhian Ashok Gupta, who accompanied Mahatma Gandhi to visit the areas where the genocide took place, said that at least 2,000 Hindus had been forcibly converted to Islam.")</f>
        <v>Gandhian Ashok Gupta, who accompanied Mahatma Gandhi to visit the areas where the genocide took place, said that at least 2,000 Hindus had been forcibly converted to Islam.</v>
      </c>
      <c r="D1041" s="5"/>
      <c r="E1041" s="5"/>
      <c r="F1041" s="5"/>
      <c r="G1041" s="5"/>
      <c r="H1041" s="5"/>
      <c r="I1041" s="5"/>
      <c r="J1041" s="5"/>
      <c r="K1041" s="5"/>
      <c r="L1041" s="5"/>
      <c r="M1041" s="5"/>
      <c r="N1041" s="5"/>
      <c r="O1041" s="5"/>
      <c r="P1041" s="5"/>
      <c r="Q1041" s="5"/>
      <c r="R1041" s="5"/>
      <c r="S1041" s="5"/>
      <c r="T1041" s="5"/>
      <c r="U1041" s="5"/>
      <c r="V1041" s="5"/>
      <c r="W1041" s="5"/>
      <c r="X1041" s="5"/>
      <c r="Y1041" s="5"/>
      <c r="Z1041" s="5"/>
    </row>
    <row r="1042" spans="1:26" ht="15.6" x14ac:dyDescent="0.3">
      <c r="A1042" s="18" t="s">
        <v>3</v>
      </c>
      <c r="B1042" s="24" t="s">
        <v>1047</v>
      </c>
      <c r="C1042" s="2" t="str">
        <f ca="1">IFERROR(__xludf.DUMMYFUNCTION("GOOGLETRANSLATE(B1042, ""bn"", ""en"")"),"Saints have always advised to renounce violence in the name of religion.")</f>
        <v>Saints have always advised to renounce violence in the name of religion.</v>
      </c>
      <c r="D1042" s="5"/>
      <c r="E1042" s="5"/>
      <c r="F1042" s="5"/>
      <c r="G1042" s="5"/>
      <c r="H1042" s="5"/>
      <c r="I1042" s="5"/>
      <c r="J1042" s="5"/>
      <c r="K1042" s="5"/>
      <c r="L1042" s="5"/>
      <c r="M1042" s="5"/>
      <c r="N1042" s="5"/>
      <c r="O1042" s="5"/>
      <c r="P1042" s="5"/>
      <c r="Q1042" s="5"/>
      <c r="R1042" s="5"/>
      <c r="S1042" s="5"/>
      <c r="T1042" s="5"/>
      <c r="U1042" s="5"/>
      <c r="V1042" s="5"/>
      <c r="W1042" s="5"/>
      <c r="X1042" s="5"/>
      <c r="Y1042" s="5"/>
      <c r="Z1042" s="5"/>
    </row>
    <row r="1043" spans="1:26" ht="15.6" x14ac:dyDescent="0.3">
      <c r="A1043" s="18" t="s">
        <v>23</v>
      </c>
      <c r="B1043" s="25" t="s">
        <v>1048</v>
      </c>
      <c r="C1043" s="2" t="str">
        <f ca="1">IFERROR(__xludf.DUMMYFUNCTION("GOOGLETRANSLATE(B1043, ""bn"", ""en"")"),"If religion is given priority then first of all profil pk should not use nude pictures")</f>
        <v>If religion is given priority then first of all profil pk should not use nude pictures</v>
      </c>
      <c r="D1043" s="5"/>
      <c r="E1043" s="5"/>
      <c r="F1043" s="5"/>
      <c r="G1043" s="5"/>
      <c r="H1043" s="5"/>
      <c r="I1043" s="5"/>
      <c r="J1043" s="5"/>
      <c r="K1043" s="5"/>
      <c r="L1043" s="5"/>
      <c r="M1043" s="5"/>
      <c r="N1043" s="5"/>
      <c r="O1043" s="5"/>
      <c r="P1043" s="5"/>
      <c r="Q1043" s="5"/>
      <c r="R1043" s="5"/>
      <c r="S1043" s="5"/>
      <c r="T1043" s="5"/>
      <c r="U1043" s="5"/>
      <c r="V1043" s="5"/>
      <c r="W1043" s="5"/>
      <c r="X1043" s="5"/>
      <c r="Y1043" s="5"/>
      <c r="Z1043" s="5"/>
    </row>
    <row r="1044" spans="1:26" ht="15.6" x14ac:dyDescent="0.3">
      <c r="A1044" s="18" t="s">
        <v>8</v>
      </c>
      <c r="B1044" s="25" t="s">
        <v>1049</v>
      </c>
      <c r="C1044" s="2" t="str">
        <f ca="1">IFERROR(__xludf.DUMMYFUNCTION("GOOGLETRANSLATE(B1044, ""bn"", ""en"")"),"A teenager's attack on Sikh identity targets religious differences, which is a worrying sign of hateful religious vandalism and intolerance around the world, including in Bangladesh.")</f>
        <v>A teenager's attack on Sikh identity targets religious differences, which is a worrying sign of hateful religious vandalism and intolerance around the world, including in Bangladesh.</v>
      </c>
      <c r="D1044" s="5"/>
      <c r="E1044" s="5"/>
      <c r="F1044" s="5"/>
      <c r="G1044" s="5"/>
      <c r="H1044" s="5"/>
      <c r="I1044" s="5"/>
      <c r="J1044" s="5"/>
      <c r="K1044" s="5"/>
      <c r="L1044" s="5"/>
      <c r="M1044" s="5"/>
      <c r="N1044" s="5"/>
      <c r="O1044" s="5"/>
      <c r="P1044" s="5"/>
      <c r="Q1044" s="5"/>
      <c r="R1044" s="5"/>
      <c r="S1044" s="5"/>
      <c r="T1044" s="5"/>
      <c r="U1044" s="5"/>
      <c r="V1044" s="5"/>
      <c r="W1044" s="5"/>
      <c r="X1044" s="5"/>
      <c r="Y1044" s="5"/>
      <c r="Z1044" s="5"/>
    </row>
    <row r="1045" spans="1:26" ht="15.6" x14ac:dyDescent="0.3">
      <c r="A1045" s="19" t="s">
        <v>23</v>
      </c>
      <c r="B1045" s="26" t="s">
        <v>1050</v>
      </c>
      <c r="C1045" s="2" t="str">
        <f ca="1">IFERROR(__xludf.DUMMYFUNCTION("GOOGLETRANSLATE(B1045, ""bn"", ""en"")"),"What are you trying to prove yourself by disparaging a great man of another religion?")</f>
        <v>What are you trying to prove yourself by disparaging a great man of another religion?</v>
      </c>
      <c r="D1045" s="7"/>
      <c r="E1045" s="7"/>
      <c r="F1045" s="7"/>
      <c r="G1045" s="5"/>
      <c r="H1045" s="5"/>
      <c r="I1045" s="5"/>
      <c r="J1045" s="5"/>
      <c r="K1045" s="5"/>
      <c r="L1045" s="5"/>
      <c r="M1045" s="5"/>
      <c r="N1045" s="5"/>
      <c r="O1045" s="5"/>
      <c r="P1045" s="5"/>
      <c r="Q1045" s="5"/>
      <c r="R1045" s="5"/>
      <c r="S1045" s="5"/>
      <c r="T1045" s="5"/>
      <c r="U1045" s="5"/>
      <c r="V1045" s="5"/>
      <c r="W1045" s="5"/>
      <c r="X1045" s="5"/>
      <c r="Y1045" s="5"/>
      <c r="Z1045" s="5"/>
    </row>
    <row r="1046" spans="1:26" ht="15.6" x14ac:dyDescent="0.3">
      <c r="A1046" s="18" t="s">
        <v>5</v>
      </c>
      <c r="B1046" s="24" t="s">
        <v>1051</v>
      </c>
      <c r="C1046" s="2" t="str">
        <f ca="1">IFERROR(__xludf.DUMMYFUNCTION("GOOGLETRANSLATE(B1046, ""bn"", ""en"")"),"On 31 October 2015, publisher Faisal Arefin Dipan was hacked to death in his office in Dhaka.")</f>
        <v>On 31 October 2015, publisher Faisal Arefin Dipan was hacked to death in his office in Dhaka.</v>
      </c>
      <c r="D1046" s="5"/>
      <c r="E1046" s="5"/>
      <c r="F1046" s="5"/>
      <c r="G1046" s="5"/>
      <c r="H1046" s="5"/>
      <c r="I1046" s="5"/>
      <c r="J1046" s="5"/>
      <c r="K1046" s="5"/>
      <c r="L1046" s="5"/>
      <c r="M1046" s="5"/>
      <c r="N1046" s="5"/>
      <c r="O1046" s="5"/>
      <c r="P1046" s="5"/>
      <c r="Q1046" s="5"/>
      <c r="R1046" s="5"/>
      <c r="S1046" s="5"/>
      <c r="T1046" s="5"/>
      <c r="U1046" s="5"/>
      <c r="V1046" s="5"/>
      <c r="W1046" s="5"/>
      <c r="X1046" s="5"/>
      <c r="Y1046" s="5"/>
      <c r="Z1046" s="5"/>
    </row>
    <row r="1047" spans="1:26" ht="15.6" x14ac:dyDescent="0.3">
      <c r="A1047" s="18" t="s">
        <v>5</v>
      </c>
      <c r="B1047" s="24" t="s">
        <v>1052</v>
      </c>
      <c r="C1047" s="2" t="str">
        <f ca="1">IFERROR(__xludf.DUMMYFUNCTION("GOOGLETRANSLATE(B1047, ""bn"", ""en"")"),"In June 2016, religious clashes erupted in a village over alleged cow slaughter, killing 23 people.")</f>
        <v>In June 2016, religious clashes erupted in a village over alleged cow slaughter, killing 23 people.</v>
      </c>
      <c r="D1047" s="5"/>
      <c r="E1047" s="5"/>
      <c r="F1047" s="5"/>
      <c r="G1047" s="5"/>
      <c r="H1047" s="5"/>
      <c r="I1047" s="5"/>
      <c r="J1047" s="5"/>
      <c r="K1047" s="5"/>
      <c r="L1047" s="5"/>
      <c r="M1047" s="5"/>
      <c r="N1047" s="5"/>
      <c r="O1047" s="5"/>
      <c r="P1047" s="5"/>
      <c r="Q1047" s="5"/>
      <c r="R1047" s="5"/>
      <c r="S1047" s="5"/>
      <c r="T1047" s="5"/>
      <c r="U1047" s="5"/>
      <c r="V1047" s="5"/>
      <c r="W1047" s="5"/>
      <c r="X1047" s="5"/>
      <c r="Y1047" s="5"/>
      <c r="Z1047" s="5"/>
    </row>
    <row r="1048" spans="1:26" ht="15.6" x14ac:dyDescent="0.3">
      <c r="A1048" s="18" t="s">
        <v>5</v>
      </c>
      <c r="B1048" s="24" t="s">
        <v>1053</v>
      </c>
      <c r="C1048" s="2" t="str">
        <f ca="1">IFERROR(__xludf.DUMMYFUNCTION("GOOGLETRANSLATE(B1048, ""bn"", ""en"")"),"An artist's exhibition was attacked and he was seriously injured for allegedly hurting religious sentiments; Another 16 people were killed during the incident.")</f>
        <v>An artist's exhibition was attacked and he was seriously injured for allegedly hurting religious sentiments; Another 16 people were killed during the incident.</v>
      </c>
      <c r="D1048" s="5"/>
      <c r="E1048" s="5"/>
      <c r="F1048" s="5"/>
      <c r="G1048" s="5"/>
      <c r="H1048" s="5"/>
      <c r="I1048" s="5"/>
      <c r="J1048" s="5"/>
      <c r="K1048" s="5"/>
      <c r="L1048" s="5"/>
      <c r="M1048" s="5"/>
      <c r="N1048" s="5"/>
      <c r="O1048" s="5"/>
      <c r="P1048" s="5"/>
      <c r="Q1048" s="5"/>
      <c r="R1048" s="5"/>
      <c r="S1048" s="5"/>
      <c r="T1048" s="5"/>
      <c r="U1048" s="5"/>
      <c r="V1048" s="5"/>
      <c r="W1048" s="5"/>
      <c r="X1048" s="5"/>
      <c r="Y1048" s="5"/>
      <c r="Z1048" s="5"/>
    </row>
    <row r="1049" spans="1:26" ht="15.6" x14ac:dyDescent="0.3">
      <c r="A1049" s="18" t="s">
        <v>3</v>
      </c>
      <c r="B1049" s="25" t="s">
        <v>1054</v>
      </c>
      <c r="C1049" s="2" t="str">
        <f ca="1">IFERROR(__xludf.DUMMYFUNCTION("GOOGLETRANSLATE(B1049, ""bn"", ""en"")"),"The Rigveda is important as the main source of Hinduism, so its full reading and analysis is absolutely necessary for religious understanding and search for truth.")</f>
        <v>The Rigveda is important as the main source of Hinduism, so its full reading and analysis is absolutely necessary for religious understanding and search for truth.</v>
      </c>
      <c r="D1049" s="5"/>
      <c r="E1049" s="5"/>
      <c r="F1049" s="5"/>
      <c r="G1049" s="5"/>
      <c r="H1049" s="5"/>
      <c r="I1049" s="5"/>
      <c r="J1049" s="5"/>
      <c r="K1049" s="5"/>
      <c r="L1049" s="5"/>
      <c r="M1049" s="5"/>
      <c r="N1049" s="5"/>
      <c r="O1049" s="5"/>
      <c r="P1049" s="5"/>
      <c r="Q1049" s="5"/>
      <c r="R1049" s="5"/>
      <c r="S1049" s="5"/>
      <c r="T1049" s="5"/>
      <c r="U1049" s="5"/>
      <c r="V1049" s="5"/>
      <c r="W1049" s="5"/>
      <c r="X1049" s="5"/>
      <c r="Y1049" s="5"/>
      <c r="Z1049" s="5"/>
    </row>
    <row r="1050" spans="1:26" ht="15.6" x14ac:dyDescent="0.3">
      <c r="A1050" s="18" t="s">
        <v>5</v>
      </c>
      <c r="B1050" s="24" t="s">
        <v>1055</v>
      </c>
      <c r="C1050" s="2" t="str">
        <f ca="1">IFERROR(__xludf.DUMMYFUNCTION("GOOGLETRANSLATE(B1050, ""bn"", ""en"")"),"A religious group attack in Magura kills 27; There is extensive damage.")</f>
        <v>A religious group attack in Magura kills 27; There is extensive damage.</v>
      </c>
      <c r="D1050" s="5"/>
      <c r="E1050" s="5"/>
      <c r="F1050" s="5"/>
      <c r="G1050" s="5"/>
      <c r="H1050" s="5"/>
      <c r="I1050" s="5"/>
      <c r="J1050" s="5"/>
      <c r="K1050" s="5"/>
      <c r="L1050" s="5"/>
      <c r="M1050" s="5"/>
      <c r="N1050" s="5"/>
      <c r="O1050" s="5"/>
      <c r="P1050" s="5"/>
      <c r="Q1050" s="5"/>
      <c r="R1050" s="5"/>
      <c r="S1050" s="5"/>
      <c r="T1050" s="5"/>
      <c r="U1050" s="5"/>
      <c r="V1050" s="5"/>
      <c r="W1050" s="5"/>
      <c r="X1050" s="5"/>
      <c r="Y1050" s="5"/>
      <c r="Z1050" s="5"/>
    </row>
    <row r="1051" spans="1:26" ht="15.6" x14ac:dyDescent="0.3">
      <c r="A1051" s="18" t="s">
        <v>23</v>
      </c>
      <c r="B1051" s="25" t="s">
        <v>1056</v>
      </c>
      <c r="C1051" s="2" t="str">
        <f ca="1">IFERROR(__xludf.DUMMYFUNCTION("GOOGLETRANSLATE(B1051, ""bn"", ""en"")"),"O Butper, God's wrath will fall on you! You are saying, how many times did Islam come to search your house that day?")</f>
        <v>O Butper, God's wrath will fall on you! You are saying, how many times did Islam come to search your house that day?</v>
      </c>
      <c r="D1051" s="5"/>
      <c r="E1051" s="5"/>
      <c r="F1051" s="5"/>
      <c r="G1051" s="5"/>
      <c r="H1051" s="5"/>
      <c r="I1051" s="5"/>
      <c r="J1051" s="5"/>
      <c r="K1051" s="5"/>
      <c r="L1051" s="5"/>
      <c r="M1051" s="5"/>
      <c r="N1051" s="5"/>
      <c r="O1051" s="5"/>
      <c r="P1051" s="5"/>
      <c r="Q1051" s="5"/>
      <c r="R1051" s="5"/>
      <c r="S1051" s="5"/>
      <c r="T1051" s="5"/>
      <c r="U1051" s="5"/>
      <c r="V1051" s="5"/>
      <c r="W1051" s="5"/>
      <c r="X1051" s="5"/>
      <c r="Y1051" s="5"/>
      <c r="Z1051" s="5"/>
    </row>
    <row r="1052" spans="1:26" ht="15.6" x14ac:dyDescent="0.3">
      <c r="A1052" s="18" t="s">
        <v>5</v>
      </c>
      <c r="B1052" s="25" t="s">
        <v>1057</v>
      </c>
      <c r="C1052" s="2" t="str">
        <f ca="1">IFERROR(__xludf.DUMMYFUNCTION("GOOGLETRANSLATE(B1052, ""bn"", ""en"")"),"In this rare religious gathering in 123 years, by the grace of Allah, the devotees gathered, but some lives were lost due to lack of security.")</f>
        <v>In this rare religious gathering in 123 years, by the grace of Allah, the devotees gathered, but some lives were lost due to lack of security.</v>
      </c>
      <c r="D1052" s="2"/>
      <c r="E1052" s="2"/>
      <c r="F1052" s="2"/>
      <c r="G1052" s="2"/>
      <c r="H1052" s="5"/>
      <c r="I1052" s="5"/>
      <c r="J1052" s="5"/>
      <c r="K1052" s="5"/>
      <c r="L1052" s="5"/>
      <c r="M1052" s="5"/>
      <c r="N1052" s="5"/>
      <c r="O1052" s="5"/>
      <c r="P1052" s="5"/>
      <c r="Q1052" s="5"/>
      <c r="R1052" s="5"/>
      <c r="S1052" s="5"/>
      <c r="T1052" s="5"/>
      <c r="U1052" s="5"/>
      <c r="V1052" s="5"/>
      <c r="W1052" s="5"/>
      <c r="X1052" s="5"/>
      <c r="Y1052" s="5"/>
      <c r="Z1052" s="5"/>
    </row>
    <row r="1053" spans="1:26" ht="15.6" x14ac:dyDescent="0.3">
      <c r="A1053" s="19" t="s">
        <v>23</v>
      </c>
      <c r="B1053" s="26" t="s">
        <v>1058</v>
      </c>
      <c r="C1053" s="2" t="str">
        <f ca="1">IFERROR(__xludf.DUMMYFUNCTION("GOOGLETRANSLATE(B1053, ""bn"", ""en"")"),"But experts who work on Islam say that women are not subordinated to men in Islam. Women were not deprived of the right to inherit property and make decisions about themselves.")</f>
        <v>But experts who work on Islam say that women are not subordinated to men in Islam. Women were not deprived of the right to inherit property and make decisions about themselves.</v>
      </c>
      <c r="D1053" s="5"/>
      <c r="E1053" s="5"/>
      <c r="F1053" s="5"/>
      <c r="G1053" s="5"/>
      <c r="H1053" s="5"/>
      <c r="I1053" s="5"/>
      <c r="J1053" s="5"/>
      <c r="K1053" s="5"/>
      <c r="L1053" s="5"/>
      <c r="M1053" s="5"/>
      <c r="N1053" s="5"/>
      <c r="O1053" s="5"/>
      <c r="P1053" s="5"/>
      <c r="Q1053" s="5"/>
      <c r="R1053" s="5"/>
      <c r="S1053" s="5"/>
      <c r="T1053" s="5"/>
      <c r="U1053" s="5"/>
      <c r="V1053" s="5"/>
      <c r="W1053" s="5"/>
      <c r="X1053" s="5"/>
      <c r="Y1053" s="5"/>
      <c r="Z1053" s="5"/>
    </row>
    <row r="1054" spans="1:26" ht="15.6" x14ac:dyDescent="0.3">
      <c r="A1054" s="18" t="s">
        <v>3</v>
      </c>
      <c r="B1054" s="24" t="s">
        <v>1059</v>
      </c>
      <c r="C1054" s="2" t="str">
        <f ca="1">IFERROR(__xludf.DUMMYFUNCTION("GOOGLETRANSLATE(B1054, ""bn"", ""en"")"),"When we pray or meditate, the soul is purified and anger subsides.")</f>
        <v>When we pray or meditate, the soul is purified and anger subsides.</v>
      </c>
      <c r="D1054" s="5"/>
      <c r="E1054" s="5"/>
      <c r="F1054" s="5"/>
      <c r="G1054" s="5"/>
      <c r="H1054" s="5"/>
      <c r="I1054" s="5"/>
      <c r="J1054" s="5"/>
      <c r="K1054" s="5"/>
      <c r="L1054" s="5"/>
      <c r="M1054" s="5"/>
      <c r="N1054" s="5"/>
      <c r="O1054" s="5"/>
      <c r="P1054" s="5"/>
      <c r="Q1054" s="5"/>
      <c r="R1054" s="5"/>
      <c r="S1054" s="5"/>
      <c r="T1054" s="5"/>
      <c r="U1054" s="5"/>
      <c r="V1054" s="5"/>
      <c r="W1054" s="5"/>
      <c r="X1054" s="5"/>
      <c r="Y1054" s="5"/>
      <c r="Z1054" s="5"/>
    </row>
    <row r="1055" spans="1:26" ht="15.6" x14ac:dyDescent="0.3">
      <c r="A1055" s="18" t="s">
        <v>5</v>
      </c>
      <c r="B1055" s="24" t="s">
        <v>1060</v>
      </c>
      <c r="C1055" s="2" t="str">
        <f ca="1">IFERROR(__xludf.DUMMYFUNCTION("GOOGLETRANSLATE(B1055, ""bn"", ""en"")"),"In October 2017, a group attacked an artist's exhibition and seriously injured him, killing 13 others, allegedly for hurting religious sentiments.")</f>
        <v>In October 2017, a group attacked an artist's exhibition and seriously injured him, killing 13 others, allegedly for hurting religious sentiments.</v>
      </c>
      <c r="D1055" s="5"/>
      <c r="E1055" s="5"/>
      <c r="F1055" s="5"/>
      <c r="G1055" s="5"/>
      <c r="H1055" s="5"/>
      <c r="I1055" s="5"/>
      <c r="J1055" s="5"/>
      <c r="K1055" s="5"/>
      <c r="L1055" s="5"/>
      <c r="M1055" s="5"/>
      <c r="N1055" s="5"/>
      <c r="O1055" s="5"/>
      <c r="P1055" s="5"/>
      <c r="Q1055" s="5"/>
      <c r="R1055" s="5"/>
      <c r="S1055" s="5"/>
      <c r="T1055" s="5"/>
      <c r="U1055" s="5"/>
      <c r="V1055" s="5"/>
      <c r="W1055" s="5"/>
      <c r="X1055" s="5"/>
      <c r="Y1055" s="5"/>
      <c r="Z1055" s="5"/>
    </row>
    <row r="1056" spans="1:26" ht="15.6" x14ac:dyDescent="0.3">
      <c r="A1056" s="19" t="s">
        <v>3</v>
      </c>
      <c r="B1056" s="26" t="s">
        <v>1061</v>
      </c>
      <c r="C1056" s="2" t="str">
        <f ca="1">IFERROR(__xludf.DUMMYFUNCTION("GOOGLETRANSLATE(B1056, ""bn"", ""en"")"),"Hinduism emphasizes resilience and self-confidence to face life's crises.")</f>
        <v>Hinduism emphasizes resilience and self-confidence to face life's crises.</v>
      </c>
      <c r="D1056" s="5"/>
      <c r="E1056" s="5"/>
      <c r="F1056" s="5"/>
      <c r="G1056" s="5"/>
      <c r="H1056" s="5"/>
      <c r="I1056" s="5"/>
      <c r="J1056" s="5"/>
      <c r="K1056" s="5"/>
      <c r="L1056" s="5"/>
      <c r="M1056" s="5"/>
      <c r="N1056" s="5"/>
      <c r="O1056" s="5"/>
      <c r="P1056" s="5"/>
      <c r="Q1056" s="5"/>
      <c r="R1056" s="5"/>
      <c r="S1056" s="5"/>
      <c r="T1056" s="5"/>
      <c r="U1056" s="5"/>
      <c r="V1056" s="5"/>
      <c r="W1056" s="5"/>
      <c r="X1056" s="5"/>
      <c r="Y1056" s="5"/>
      <c r="Z1056" s="5"/>
    </row>
    <row r="1057" spans="1:26" ht="15.6" x14ac:dyDescent="0.3">
      <c r="A1057" s="19" t="s">
        <v>5</v>
      </c>
      <c r="B1057" s="26" t="s">
        <v>1062</v>
      </c>
      <c r="C1057" s="2" t="str">
        <f ca="1">IFERROR(__xludf.DUMMYFUNCTION("GOOGLETRANSLATE(B1057, ""bn"", ""en"")"),"The Prophet (peace and blessings of Allah be upon him) said, “None of you should expect death in any way and should not pray for it before it comes. For when one of you dies, his deeds cease. And the long life of the believer brings only good for him.")</f>
        <v>The Prophet (peace and blessings of Allah be upon him) said, “None of you should expect death in any way and should not pray for it before it comes. For when one of you dies, his deeds cease. And the long life of the believer brings only good for him.</v>
      </c>
      <c r="D1057" s="7"/>
      <c r="E1057" s="7"/>
      <c r="F1057" s="7"/>
      <c r="G1057" s="7"/>
      <c r="H1057" s="5"/>
      <c r="I1057" s="5"/>
      <c r="J1057" s="5"/>
      <c r="K1057" s="5"/>
      <c r="L1057" s="5"/>
      <c r="M1057" s="5"/>
      <c r="N1057" s="5"/>
      <c r="O1057" s="5"/>
      <c r="P1057" s="5"/>
      <c r="Q1057" s="5"/>
      <c r="R1057" s="5"/>
      <c r="S1057" s="5"/>
      <c r="T1057" s="5"/>
      <c r="U1057" s="5"/>
      <c r="V1057" s="5"/>
      <c r="W1057" s="5"/>
      <c r="X1057" s="5"/>
      <c r="Y1057" s="5"/>
      <c r="Z1057" s="5"/>
    </row>
    <row r="1058" spans="1:26" ht="15.6" x14ac:dyDescent="0.3">
      <c r="A1058" s="19" t="s">
        <v>3</v>
      </c>
      <c r="B1058" s="26" t="s">
        <v>1063</v>
      </c>
      <c r="C1058" s="2" t="str">
        <f ca="1">IFERROR(__xludf.DUMMYFUNCTION("GOOGLETRANSLATE(B1058, ""bn"", ""en"")"),"Manoj Vajpayee can end all relations if he raises questions about religion; Know the secret of his successful marriage with Shabana")</f>
        <v>Manoj Vajpayee can end all relations if he raises questions about religion; Know the secret of his successful marriage with Shabana</v>
      </c>
      <c r="D1058" s="5"/>
      <c r="E1058" s="5"/>
      <c r="F1058" s="5"/>
      <c r="G1058" s="5"/>
      <c r="H1058" s="5"/>
      <c r="I1058" s="5"/>
      <c r="J1058" s="5"/>
      <c r="K1058" s="5"/>
      <c r="L1058" s="5"/>
      <c r="M1058" s="5"/>
      <c r="N1058" s="5"/>
      <c r="O1058" s="5"/>
      <c r="P1058" s="5"/>
      <c r="Q1058" s="5"/>
      <c r="R1058" s="5"/>
      <c r="S1058" s="5"/>
      <c r="T1058" s="5"/>
      <c r="U1058" s="5"/>
      <c r="V1058" s="5"/>
      <c r="W1058" s="5"/>
      <c r="X1058" s="5"/>
      <c r="Y1058" s="5"/>
      <c r="Z1058" s="5"/>
    </row>
    <row r="1059" spans="1:26" ht="15.6" x14ac:dyDescent="0.3">
      <c r="A1059" s="19" t="s">
        <v>8</v>
      </c>
      <c r="B1059" s="26" t="s">
        <v>1064</v>
      </c>
      <c r="C1059" s="2" t="str">
        <f ca="1">IFERROR(__xludf.DUMMYFUNCTION("GOOGLETRANSLATE(B1059, ""bn"", ""en"")"),"O you who believe, search for any news you receive, lest you harm anyone unknowingly and then be ashamed.")</f>
        <v>O you who believe, search for any news you receive, lest you harm anyone unknowingly and then be ashamed.</v>
      </c>
      <c r="D1059" s="7"/>
      <c r="E1059" s="7"/>
      <c r="F1059" s="7"/>
      <c r="G1059" s="7"/>
      <c r="H1059" s="5"/>
      <c r="I1059" s="5"/>
      <c r="J1059" s="5"/>
      <c r="K1059" s="5"/>
      <c r="L1059" s="5"/>
      <c r="M1059" s="5"/>
      <c r="N1059" s="5"/>
      <c r="O1059" s="5"/>
      <c r="P1059" s="5"/>
      <c r="Q1059" s="5"/>
      <c r="R1059" s="5"/>
      <c r="S1059" s="5"/>
      <c r="T1059" s="5"/>
      <c r="U1059" s="5"/>
      <c r="V1059" s="5"/>
      <c r="W1059" s="5"/>
      <c r="X1059" s="5"/>
      <c r="Y1059" s="5"/>
      <c r="Z1059" s="5"/>
    </row>
    <row r="1060" spans="1:26" ht="15.6" x14ac:dyDescent="0.3">
      <c r="A1060" s="18" t="s">
        <v>5</v>
      </c>
      <c r="B1060" s="25" t="s">
        <v>1065</v>
      </c>
      <c r="C1060" s="2" t="str">
        <f ca="1">IFERROR(__xludf.DUMMYFUNCTION("GOOGLETRANSLATE(B1060, ""bn"", ""en"")"),"In 2022, a tailor named Kanhaiya Lal was killed by Muslim extremists for commenting against Hindutva leaders.")</f>
        <v>In 2022, a tailor named Kanhaiya Lal was killed by Muslim extremists for commenting against Hindutva leaders.</v>
      </c>
      <c r="D1060" s="2"/>
      <c r="E1060" s="2"/>
      <c r="F1060" s="2"/>
      <c r="G1060" s="2"/>
      <c r="H1060" s="5"/>
      <c r="I1060" s="5"/>
      <c r="J1060" s="5"/>
      <c r="K1060" s="5"/>
      <c r="L1060" s="5"/>
      <c r="M1060" s="5"/>
      <c r="N1060" s="5"/>
      <c r="O1060" s="5"/>
      <c r="P1060" s="5"/>
      <c r="Q1060" s="5"/>
      <c r="R1060" s="5"/>
      <c r="S1060" s="5"/>
      <c r="T1060" s="5"/>
      <c r="U1060" s="5"/>
      <c r="V1060" s="5"/>
      <c r="W1060" s="5"/>
      <c r="X1060" s="5"/>
      <c r="Y1060" s="5"/>
      <c r="Z1060" s="5"/>
    </row>
    <row r="1061" spans="1:26" ht="15.6" x14ac:dyDescent="0.3">
      <c r="A1061" s="18" t="s">
        <v>8</v>
      </c>
      <c r="B1061" s="25" t="s">
        <v>1066</v>
      </c>
      <c r="C1061" s="2" t="str">
        <f ca="1">IFERROR(__xludf.DUMMYFUNCTION("GOOGLETRANSLATE(B1061, ""bn"", ""en"")"),"Terrorists threaten to vandalize 113-year-old Shiva temple in Boalkhali, burn Sevayat")</f>
        <v>Terrorists threaten to vandalize 113-year-old Shiva temple in Boalkhali, burn Sevayat</v>
      </c>
      <c r="D1061" s="5"/>
      <c r="E1061" s="5"/>
      <c r="F1061" s="5"/>
      <c r="G1061" s="5"/>
      <c r="H1061" s="5"/>
      <c r="I1061" s="5"/>
      <c r="J1061" s="5"/>
      <c r="K1061" s="5"/>
      <c r="L1061" s="5"/>
      <c r="M1061" s="5"/>
      <c r="N1061" s="5"/>
      <c r="O1061" s="5"/>
      <c r="P1061" s="5"/>
      <c r="Q1061" s="5"/>
      <c r="R1061" s="5"/>
      <c r="S1061" s="5"/>
      <c r="T1061" s="5"/>
      <c r="U1061" s="5"/>
      <c r="V1061" s="5"/>
      <c r="W1061" s="5"/>
      <c r="X1061" s="5"/>
      <c r="Y1061" s="5"/>
      <c r="Z1061" s="5"/>
    </row>
    <row r="1062" spans="1:26" ht="15.6" x14ac:dyDescent="0.3">
      <c r="A1062" s="18" t="s">
        <v>3</v>
      </c>
      <c r="B1062" s="25" t="s">
        <v>1067</v>
      </c>
      <c r="C1062" s="2" t="str">
        <f ca="1">IFERROR(__xludf.DUMMYFUNCTION("GOOGLETRANSLATE(B1062, ""bn"", ""en"")"),"I used to do good deeds only for the pleasure of Allah. It has been 5 years today. I can't explain to anyone the feeling I felt watching this series at that time. May Allah bless him who presented this series.")</f>
        <v>I used to do good deeds only for the pleasure of Allah. It has been 5 years today. I can't explain to anyone the feeling I felt watching this series at that time. May Allah bless him who presented this series.</v>
      </c>
      <c r="D1062" s="2"/>
      <c r="E1062" s="2"/>
      <c r="F1062" s="2"/>
      <c r="G1062" s="2"/>
      <c r="H1062" s="3"/>
      <c r="I1062" s="3"/>
      <c r="J1062" s="3"/>
      <c r="K1062" s="3"/>
      <c r="L1062" s="3"/>
      <c r="M1062" s="3"/>
      <c r="N1062" s="3"/>
      <c r="O1062" s="3"/>
      <c r="P1062" s="3"/>
      <c r="Q1062" s="3"/>
      <c r="R1062" s="3"/>
      <c r="S1062" s="3"/>
      <c r="T1062" s="3"/>
      <c r="U1062" s="3"/>
      <c r="V1062" s="3"/>
      <c r="W1062" s="3"/>
      <c r="X1062" s="3"/>
      <c r="Y1062" s="3"/>
      <c r="Z1062" s="3"/>
    </row>
    <row r="1063" spans="1:26" ht="15.6" x14ac:dyDescent="0.3">
      <c r="A1063" s="19" t="s">
        <v>5</v>
      </c>
      <c r="B1063" s="26" t="s">
        <v>1068</v>
      </c>
      <c r="C1063" s="2" t="str">
        <f ca="1">IFERROR(__xludf.DUMMYFUNCTION("GOOGLETRANSLATE(B1063, ""bn"", ""en"")"),"Attacks and forced conversions have occurred on Hindu and Christian religious minorities in Bangladesh. After partition in 1947, Hindu refugees from Bangladesh were forced to leave the country in droves.")</f>
        <v>Attacks and forced conversions have occurred on Hindu and Christian religious minorities in Bangladesh. After partition in 1947, Hindu refugees from Bangladesh were forced to leave the country in droves.</v>
      </c>
      <c r="D1063" s="7"/>
      <c r="E1063" s="7"/>
      <c r="F1063" s="7"/>
      <c r="G1063" s="7"/>
      <c r="H1063" s="7"/>
      <c r="I1063" s="7"/>
      <c r="J1063" s="7"/>
      <c r="K1063" s="7"/>
      <c r="L1063" s="7"/>
      <c r="M1063" s="7"/>
      <c r="N1063" s="7"/>
      <c r="O1063" s="7"/>
      <c r="P1063" s="5"/>
      <c r="Q1063" s="5"/>
      <c r="R1063" s="5"/>
      <c r="S1063" s="5"/>
      <c r="T1063" s="5"/>
      <c r="U1063" s="5"/>
      <c r="V1063" s="5"/>
      <c r="W1063" s="5"/>
      <c r="X1063" s="5"/>
      <c r="Y1063" s="5"/>
      <c r="Z1063" s="5"/>
    </row>
    <row r="1064" spans="1:26" ht="15.6" x14ac:dyDescent="0.3">
      <c r="A1064" s="19" t="s">
        <v>3</v>
      </c>
      <c r="B1064" s="26" t="s">
        <v>1069</v>
      </c>
      <c r="C1064" s="2" t="str">
        <f ca="1">IFERROR(__xludf.DUMMYFUNCTION("GOOGLETRANSLATE(B1064, ""bn"", ""en"")"),"A person who follows the guidance of Allah, his life is beautiful and successful, because Allah blesses his life.")</f>
        <v>A person who follows the guidance of Allah, his life is beautiful and successful, because Allah blesses his life.</v>
      </c>
      <c r="D1064" s="5"/>
      <c r="E1064" s="5"/>
      <c r="F1064" s="5"/>
      <c r="G1064" s="5"/>
      <c r="H1064" s="5"/>
      <c r="I1064" s="5"/>
      <c r="J1064" s="5"/>
      <c r="K1064" s="5"/>
      <c r="L1064" s="5"/>
      <c r="M1064" s="5"/>
      <c r="N1064" s="5"/>
      <c r="O1064" s="5"/>
      <c r="P1064" s="5"/>
      <c r="Q1064" s="5"/>
      <c r="R1064" s="5"/>
      <c r="S1064" s="5"/>
      <c r="T1064" s="5"/>
      <c r="U1064" s="5"/>
      <c r="V1064" s="5"/>
      <c r="W1064" s="5"/>
      <c r="X1064" s="5"/>
      <c r="Y1064" s="5"/>
      <c r="Z1064" s="5"/>
    </row>
    <row r="1065" spans="1:26" ht="15.6" x14ac:dyDescent="0.3">
      <c r="A1065" s="19" t="s">
        <v>8</v>
      </c>
      <c r="B1065" s="26" t="s">
        <v>1070</v>
      </c>
      <c r="C1065" s="2" t="str">
        <f ca="1">IFERROR(__xludf.DUMMYFUNCTION("GOOGLETRANSLATE(B1065, ""bn"", ""en"")"),"As much as I feel bad for the desecration of my religious books today, I know that my Hindu friends in different parts of the country feel the same about the desecration of idols.")</f>
        <v>As much as I feel bad for the desecration of my religious books today, I know that my Hindu friends in different parts of the country feel the same about the desecration of idols.</v>
      </c>
      <c r="D1065" s="5"/>
      <c r="E1065" s="5"/>
      <c r="F1065" s="5"/>
      <c r="G1065" s="5"/>
      <c r="H1065" s="5"/>
      <c r="I1065" s="5"/>
      <c r="J1065" s="5"/>
      <c r="K1065" s="5"/>
      <c r="L1065" s="5"/>
      <c r="M1065" s="5"/>
      <c r="N1065" s="5"/>
      <c r="O1065" s="5"/>
      <c r="P1065" s="5"/>
      <c r="Q1065" s="5"/>
      <c r="R1065" s="5"/>
      <c r="S1065" s="5"/>
      <c r="T1065" s="5"/>
      <c r="U1065" s="5"/>
      <c r="V1065" s="5"/>
      <c r="W1065" s="5"/>
      <c r="X1065" s="5"/>
      <c r="Y1065" s="5"/>
      <c r="Z1065" s="5"/>
    </row>
    <row r="1066" spans="1:26" ht="15.6" x14ac:dyDescent="0.3">
      <c r="A1066" s="18" t="s">
        <v>5</v>
      </c>
      <c r="B1066" s="24" t="s">
        <v>1071</v>
      </c>
      <c r="C1066" s="2" t="str">
        <f ca="1">IFERROR(__xludf.DUMMYFUNCTION("GOOGLETRANSLATE(B1066, ""bn"", ""en"")"),"In Chandpur, 35 people were killed in an attack on a minority community by religious extremism. The attackers escaped by harassing homeless families. The administration failed to provide adequate support.")</f>
        <v>In Chandpur, 35 people were killed in an attack on a minority community by religious extremism. The attackers escaped by harassing homeless families. The administration failed to provide adequate support.</v>
      </c>
      <c r="D1066" s="5"/>
      <c r="E1066" s="5"/>
      <c r="F1066" s="5"/>
      <c r="G1066" s="5"/>
      <c r="H1066" s="5"/>
      <c r="I1066" s="5"/>
      <c r="J1066" s="5"/>
      <c r="K1066" s="5"/>
      <c r="L1066" s="5"/>
      <c r="M1066" s="5"/>
      <c r="N1066" s="5"/>
      <c r="O1066" s="5"/>
      <c r="P1066" s="5"/>
      <c r="Q1066" s="5"/>
      <c r="R1066" s="5"/>
      <c r="S1066" s="5"/>
      <c r="T1066" s="5"/>
      <c r="U1066" s="5"/>
      <c r="V1066" s="5"/>
      <c r="W1066" s="5"/>
      <c r="X1066" s="5"/>
      <c r="Y1066" s="5"/>
      <c r="Z1066" s="5"/>
    </row>
    <row r="1067" spans="1:26" ht="15.6" x14ac:dyDescent="0.3">
      <c r="A1067" s="18" t="s">
        <v>8</v>
      </c>
      <c r="B1067" s="25" t="s">
        <v>1072</v>
      </c>
      <c r="C1067" s="2" t="str">
        <f ca="1">IFERROR(__xludf.DUMMYFUNCTION("GOOGLETRANSLATE(B1067, ""bn"", ""en"")"),"Illegal occupying organization Bangladesh Buddhist Association! As the leaders of the illegal occupying Buddhist association are carrying out a terrorist attack on the respected Dr. Jinbodhi Bhanth in Chittagong Nandankanan Buddhist Vihara,")</f>
        <v>Illegal occupying organization Bangladesh Buddhist Association! As the leaders of the illegal occupying Buddhist association are carrying out a terrorist attack on the respected Dr. Jinbodhi Bhanth in Chittagong Nandankanan Buddhist Vihara,</v>
      </c>
      <c r="D1067" s="6"/>
      <c r="E1067" s="6"/>
      <c r="F1067" s="6"/>
      <c r="G1067" s="6"/>
      <c r="H1067" s="3"/>
      <c r="I1067" s="3"/>
      <c r="J1067" s="3"/>
      <c r="K1067" s="3"/>
      <c r="L1067" s="3"/>
      <c r="M1067" s="3"/>
      <c r="N1067" s="3"/>
      <c r="O1067" s="3"/>
      <c r="P1067" s="3"/>
      <c r="Q1067" s="3"/>
      <c r="R1067" s="3"/>
      <c r="S1067" s="3"/>
      <c r="T1067" s="3"/>
      <c r="U1067" s="3"/>
      <c r="V1067" s="3"/>
      <c r="W1067" s="3"/>
      <c r="X1067" s="3"/>
      <c r="Y1067" s="3"/>
      <c r="Z1067" s="3"/>
    </row>
    <row r="1068" spans="1:26" ht="15.6" x14ac:dyDescent="0.3">
      <c r="A1068" s="18" t="s">
        <v>8</v>
      </c>
      <c r="B1068" s="25" t="s">
        <v>1073</v>
      </c>
      <c r="C1068" s="2" t="str">
        <f ca="1">IFERROR(__xludf.DUMMYFUNCTION("GOOGLETRANSLATE(B1068, ""bn"", ""en"")"),"Every Hindu-dominated village in Chittagong's Phatikchari and Mirersarai was completely burnt down. Five Hindu temples, including Panchanandham and Tulsidham, were vandalized and destroyed by the Muslims.")</f>
        <v>Every Hindu-dominated village in Chittagong's Phatikchari and Mirersarai was completely burnt down. Five Hindu temples, including Panchanandham and Tulsidham, were vandalized and destroyed by the Muslims.</v>
      </c>
      <c r="D1068" s="5"/>
      <c r="E1068" s="5"/>
      <c r="F1068" s="5"/>
      <c r="G1068" s="5"/>
      <c r="H1068" s="5"/>
      <c r="I1068" s="5"/>
      <c r="J1068" s="5"/>
      <c r="K1068" s="5"/>
      <c r="L1068" s="5"/>
      <c r="M1068" s="5"/>
      <c r="N1068" s="5"/>
      <c r="O1068" s="5"/>
      <c r="P1068" s="5"/>
      <c r="Q1068" s="5"/>
      <c r="R1068" s="5"/>
      <c r="S1068" s="5"/>
      <c r="T1068" s="5"/>
      <c r="U1068" s="5"/>
      <c r="V1068" s="5"/>
      <c r="W1068" s="5"/>
      <c r="X1068" s="5"/>
      <c r="Y1068" s="5"/>
      <c r="Z1068" s="5"/>
    </row>
    <row r="1069" spans="1:26" ht="15.6" x14ac:dyDescent="0.3">
      <c r="A1069" s="18" t="s">
        <v>3</v>
      </c>
      <c r="B1069" s="25" t="s">
        <v>1074</v>
      </c>
      <c r="C1069" s="2" t="str">
        <f ca="1">IFERROR(__xludf.DUMMYFUNCTION("GOOGLETRANSLATE(B1069, ""bn"", ""en"")"),"Death is a transitional state in the ongoing life process. From the Islamic perspective, death is the most terrifying experience for all living beings.")</f>
        <v>Death is a transitional state in the ongoing life process. From the Islamic perspective, death is the most terrifying experience for all living beings.</v>
      </c>
      <c r="D1069" s="5"/>
      <c r="E1069" s="5"/>
      <c r="F1069" s="5"/>
      <c r="G1069" s="5"/>
      <c r="H1069" s="5"/>
      <c r="I1069" s="5"/>
      <c r="J1069" s="5"/>
      <c r="K1069" s="5"/>
      <c r="L1069" s="5"/>
      <c r="M1069" s="5"/>
      <c r="N1069" s="5"/>
      <c r="O1069" s="5"/>
      <c r="P1069" s="5"/>
      <c r="Q1069" s="5"/>
      <c r="R1069" s="5"/>
      <c r="S1069" s="5"/>
      <c r="T1069" s="5"/>
      <c r="U1069" s="5"/>
      <c r="V1069" s="5"/>
      <c r="W1069" s="5"/>
      <c r="X1069" s="5"/>
      <c r="Y1069" s="5"/>
      <c r="Z1069" s="5"/>
    </row>
    <row r="1070" spans="1:26" ht="15.6" x14ac:dyDescent="0.3">
      <c r="A1070" s="18" t="s">
        <v>23</v>
      </c>
      <c r="B1070" s="25" t="s">
        <v>1075</v>
      </c>
      <c r="C1070" s="2" t="str">
        <f ca="1">IFERROR(__xludf.DUMMYFUNCTION("GOOGLETRANSLATE(B1070, ""bn"", ""en"")"),"My point is, this is that breaking bets on Eid, playing dhumche song on thirty fast night, singing on box in puja are not visible or just like to chew fat during waj??")</f>
        <v>My point is, this is that breaking bets on Eid, playing dhumche song on thirty fast night, singing on box in puja are not visible or just like to chew fat during waj??</v>
      </c>
      <c r="D1070" s="2"/>
      <c r="E1070" s="2"/>
      <c r="F1070" s="2"/>
      <c r="G1070" s="2"/>
      <c r="H1070" s="5"/>
      <c r="I1070" s="5"/>
      <c r="J1070" s="5"/>
      <c r="K1070" s="5"/>
      <c r="L1070" s="5"/>
      <c r="M1070" s="5"/>
      <c r="N1070" s="5"/>
      <c r="O1070" s="5"/>
      <c r="P1070" s="5"/>
      <c r="Q1070" s="5"/>
      <c r="R1070" s="5"/>
      <c r="S1070" s="5"/>
      <c r="T1070" s="5"/>
      <c r="U1070" s="5"/>
      <c r="V1070" s="5"/>
      <c r="W1070" s="5"/>
      <c r="X1070" s="5"/>
      <c r="Y1070" s="5"/>
      <c r="Z1070" s="5"/>
    </row>
    <row r="1071" spans="1:26" ht="15.6" x14ac:dyDescent="0.3">
      <c r="A1071" s="18" t="s">
        <v>5</v>
      </c>
      <c r="B1071" s="25" t="s">
        <v>1076</v>
      </c>
      <c r="C1071" s="2" t="str">
        <f ca="1">IFERROR(__xludf.DUMMYFUNCTION("GOOGLETRANSLATE(B1071, ""bn"", ""en"")"),"After the killing of eight Muslim witnesses and around 100 Hindus, the death toll is disputed, but 125 are said to have died.")</f>
        <v>After the killing of eight Muslim witnesses and around 100 Hindus, the death toll is disputed, but 125 are said to have died.</v>
      </c>
      <c r="D1071" s="2"/>
      <c r="E1071" s="2"/>
      <c r="F1071" s="2"/>
      <c r="G1071" s="2"/>
      <c r="H1071" s="3"/>
      <c r="I1071" s="3"/>
      <c r="J1071" s="3"/>
      <c r="K1071" s="3"/>
      <c r="L1071" s="3"/>
      <c r="M1071" s="3"/>
      <c r="N1071" s="3"/>
      <c r="O1071" s="3"/>
      <c r="P1071" s="3"/>
      <c r="Q1071" s="3"/>
      <c r="R1071" s="3"/>
      <c r="S1071" s="3"/>
      <c r="T1071" s="3"/>
      <c r="U1071" s="3"/>
      <c r="V1071" s="3"/>
      <c r="W1071" s="3"/>
      <c r="X1071" s="3"/>
      <c r="Y1071" s="3"/>
      <c r="Z1071" s="3"/>
    </row>
    <row r="1072" spans="1:26" ht="15.6" x14ac:dyDescent="0.3">
      <c r="A1072" s="18" t="s">
        <v>23</v>
      </c>
      <c r="B1072" s="25" t="s">
        <v>1077</v>
      </c>
      <c r="C1072" s="2" t="str">
        <f ca="1">IFERROR(__xludf.DUMMYFUNCTION("GOOGLETRANSLATE(B1072, ""bn"", ""en"")"),"The Almighty Allah destroyed an entire nation for this homosexuality and how dare they do it openly!")</f>
        <v>The Almighty Allah destroyed an entire nation for this homosexuality and how dare they do it openly!</v>
      </c>
      <c r="D1072" s="7"/>
      <c r="E1072" s="7"/>
      <c r="F1072" s="7"/>
      <c r="G1072" s="7"/>
      <c r="H1072" s="7"/>
      <c r="I1072" s="5"/>
      <c r="J1072" s="5"/>
      <c r="K1072" s="5"/>
      <c r="L1072" s="5"/>
      <c r="M1072" s="5"/>
      <c r="N1072" s="5"/>
      <c r="O1072" s="5"/>
      <c r="P1072" s="5"/>
      <c r="Q1072" s="5"/>
      <c r="R1072" s="5"/>
      <c r="S1072" s="5"/>
      <c r="T1072" s="5"/>
      <c r="U1072" s="5"/>
      <c r="V1072" s="5"/>
      <c r="W1072" s="5"/>
      <c r="X1072" s="5"/>
      <c r="Y1072" s="5"/>
      <c r="Z1072" s="5"/>
    </row>
    <row r="1073" spans="1:26" ht="15.6" x14ac:dyDescent="0.3">
      <c r="A1073" s="18" t="s">
        <v>23</v>
      </c>
      <c r="B1073" s="25" t="s">
        <v>1078</v>
      </c>
      <c r="C1073" s="2" t="str">
        <f ca="1">IFERROR(__xludf.DUMMYFUNCTION("GOOGLETRANSLATE(B1073, ""bn"", ""en"")"),"In the past few days, the persecution of the Hindu community in Bangladesh shows that there is no security for the lives of Hindus in Bangladesh.")</f>
        <v>In the past few days, the persecution of the Hindu community in Bangladesh shows that there is no security for the lives of Hindus in Bangladesh.</v>
      </c>
      <c r="D1073" s="2"/>
      <c r="E1073" s="2"/>
      <c r="F1073" s="2"/>
      <c r="G1073" s="2"/>
      <c r="H1073" s="5"/>
      <c r="I1073" s="5"/>
      <c r="J1073" s="5"/>
      <c r="K1073" s="5"/>
      <c r="L1073" s="5"/>
      <c r="M1073" s="5"/>
      <c r="N1073" s="5"/>
      <c r="O1073" s="5"/>
      <c r="P1073" s="5"/>
      <c r="Q1073" s="5"/>
      <c r="R1073" s="5"/>
      <c r="S1073" s="5"/>
      <c r="T1073" s="5"/>
      <c r="U1073" s="5"/>
      <c r="V1073" s="5"/>
      <c r="W1073" s="5"/>
      <c r="X1073" s="5"/>
      <c r="Y1073" s="5"/>
      <c r="Z1073" s="5"/>
    </row>
    <row r="1074" spans="1:26" ht="15.6" x14ac:dyDescent="0.3">
      <c r="A1074" s="18" t="s">
        <v>23</v>
      </c>
      <c r="B1074" s="25" t="s">
        <v>1079</v>
      </c>
      <c r="C1074" s="2" t="str">
        <f ca="1">IFERROR(__xludf.DUMMYFUNCTION("GOOGLETRANSLATE(B1074, ""bn"", ""en"")"),"Stupid Bengalis do not know that, what are the consequences? Hindus have banned the sale of non-vegetarian food in each of the surrounding areas that have been declared pilgrimage sites.")</f>
        <v>Stupid Bengalis do not know that, what are the consequences? Hindus have banned the sale of non-vegetarian food in each of the surrounding areas that have been declared pilgrimage sites.</v>
      </c>
      <c r="D1074" s="2"/>
      <c r="E1074" s="2"/>
      <c r="F1074" s="2"/>
      <c r="G1074" s="2"/>
      <c r="H1074" s="3"/>
      <c r="I1074" s="3"/>
      <c r="J1074" s="3"/>
      <c r="K1074" s="3"/>
      <c r="L1074" s="3"/>
      <c r="M1074" s="3"/>
      <c r="N1074" s="3"/>
      <c r="O1074" s="3"/>
      <c r="P1074" s="3"/>
      <c r="Q1074" s="3"/>
      <c r="R1074" s="3"/>
      <c r="S1074" s="3"/>
      <c r="T1074" s="3"/>
      <c r="U1074" s="3"/>
      <c r="V1074" s="3"/>
      <c r="W1074" s="3"/>
      <c r="X1074" s="3"/>
      <c r="Y1074" s="3"/>
      <c r="Z1074" s="3"/>
    </row>
    <row r="1075" spans="1:26" ht="15.6" x14ac:dyDescent="0.3">
      <c r="A1075" s="18" t="s">
        <v>23</v>
      </c>
      <c r="B1075" s="25" t="s">
        <v>1080</v>
      </c>
      <c r="C1075" s="2" t="str">
        <f ca="1">IFERROR(__xludf.DUMMYFUNCTION("GOOGLETRANSLATE(B1075, ""bn"", ""en"")"),"We never post on Facebook insulting anyone's religion but others post bad things about our religion and the punishment for insulting this religion should be very severe Allah Almighty")</f>
        <v>We never post on Facebook insulting anyone's religion but others post bad things about our religion and the punishment for insulting this religion should be very severe Allah Almighty</v>
      </c>
      <c r="D1075" s="2"/>
      <c r="E1075" s="2"/>
      <c r="F1075" s="2"/>
      <c r="G1075" s="2"/>
      <c r="H1075" s="3"/>
      <c r="I1075" s="3"/>
      <c r="J1075" s="3"/>
      <c r="K1075" s="3"/>
      <c r="L1075" s="3"/>
      <c r="M1075" s="3"/>
      <c r="N1075" s="3"/>
      <c r="O1075" s="3"/>
      <c r="P1075" s="3"/>
      <c r="Q1075" s="3"/>
      <c r="R1075" s="3"/>
      <c r="S1075" s="3"/>
      <c r="T1075" s="3"/>
      <c r="U1075" s="3"/>
      <c r="V1075" s="3"/>
      <c r="W1075" s="3"/>
      <c r="X1075" s="3"/>
      <c r="Y1075" s="3"/>
      <c r="Z1075" s="3"/>
    </row>
    <row r="1076" spans="1:26" ht="15.6" x14ac:dyDescent="0.3">
      <c r="A1076" s="18" t="s">
        <v>23</v>
      </c>
      <c r="B1076" s="25" t="s">
        <v>1081</v>
      </c>
      <c r="C1076" s="2" t="str">
        <f ca="1">IFERROR(__xludf.DUMMYFUNCTION("GOOGLETRANSLATE(B1076, ""bn"", ""en"")"),"Proclamation of banning Guru's meat, cooking in rented pots are nothing more than communal provocations.")</f>
        <v>Proclamation of banning Guru's meat, cooking in rented pots are nothing more than communal provocations.</v>
      </c>
      <c r="D1076" s="5"/>
      <c r="E1076" s="5"/>
      <c r="F1076" s="5"/>
      <c r="G1076" s="5"/>
      <c r="H1076" s="5"/>
      <c r="I1076" s="5"/>
      <c r="J1076" s="5"/>
      <c r="K1076" s="5"/>
      <c r="L1076" s="5"/>
      <c r="M1076" s="5"/>
      <c r="N1076" s="5"/>
      <c r="O1076" s="5"/>
      <c r="P1076" s="5"/>
      <c r="Q1076" s="5"/>
      <c r="R1076" s="5"/>
      <c r="S1076" s="5"/>
      <c r="T1076" s="5"/>
      <c r="U1076" s="5"/>
      <c r="V1076" s="5"/>
      <c r="W1076" s="5"/>
      <c r="X1076" s="5"/>
      <c r="Y1076" s="5"/>
      <c r="Z1076" s="5"/>
    </row>
    <row r="1077" spans="1:26" ht="15.6" x14ac:dyDescent="0.3">
      <c r="A1077" s="18" t="s">
        <v>23</v>
      </c>
      <c r="B1077" s="25" t="s">
        <v>1082</v>
      </c>
      <c r="C1077" s="2" t="str">
        <f ca="1">IFERROR(__xludf.DUMMYFUNCTION("GOOGLETRANSLATE(B1077, ""bn"", ""en"")"),"Hindu extremists are closing Muslim beef hotels near the hills. This is definitely anti-Islamic terrorism, a Hindutva conspiracy to destroy the livelihood of Muslims.")</f>
        <v>Hindu extremists are closing Muslim beef hotels near the hills. This is definitely anti-Islamic terrorism, a Hindutva conspiracy to destroy the livelihood of Muslims.</v>
      </c>
      <c r="D1077" s="5"/>
      <c r="E1077" s="5"/>
      <c r="F1077" s="5"/>
      <c r="G1077" s="5"/>
      <c r="H1077" s="5"/>
      <c r="I1077" s="5"/>
      <c r="J1077" s="5"/>
      <c r="K1077" s="5"/>
      <c r="L1077" s="5"/>
      <c r="M1077" s="5"/>
      <c r="N1077" s="5"/>
      <c r="O1077" s="5"/>
      <c r="P1077" s="5"/>
      <c r="Q1077" s="5"/>
      <c r="R1077" s="5"/>
      <c r="S1077" s="5"/>
      <c r="T1077" s="5"/>
      <c r="U1077" s="5"/>
      <c r="V1077" s="5"/>
      <c r="W1077" s="5"/>
      <c r="X1077" s="5"/>
      <c r="Y1077" s="5"/>
      <c r="Z1077" s="5"/>
    </row>
    <row r="1078" spans="1:26" ht="15.6" x14ac:dyDescent="0.3">
      <c r="A1078" s="18" t="s">
        <v>3</v>
      </c>
      <c r="B1078" s="25" t="s">
        <v>1083</v>
      </c>
      <c r="C1078" s="2" t="str">
        <f ca="1">IFERROR(__xludf.DUMMYFUNCTION("GOOGLETRANSLATE(B1078, ""bn"", ""en"")"),"Muslim religion was introduced in Bangladesh after 1000 AD. But among Buddhism, Jainism, Brahmanism - etc., which religion is the oldest in Bengal? Where is the place of Hinduism in Bengali history? What is Hinduism traditional religion? - All these quest"&amp;"ions will be discussed in today's episode.")</f>
        <v>Muslim religion was introduced in Bangladesh after 1000 AD. But among Buddhism, Jainism, Brahmanism - etc., which religion is the oldest in Bengal? Where is the place of Hinduism in Bengali history? What is Hinduism traditional religion? - All these questions will be discussed in today's episode.</v>
      </c>
      <c r="D1078" s="5"/>
      <c r="E1078" s="5"/>
      <c r="F1078" s="5"/>
      <c r="G1078" s="5"/>
      <c r="H1078" s="5"/>
      <c r="I1078" s="5"/>
      <c r="J1078" s="5"/>
      <c r="K1078" s="5"/>
      <c r="L1078" s="5"/>
      <c r="M1078" s="5"/>
      <c r="N1078" s="5"/>
      <c r="O1078" s="5"/>
      <c r="P1078" s="5"/>
      <c r="Q1078" s="5"/>
      <c r="R1078" s="5"/>
      <c r="S1078" s="5"/>
      <c r="T1078" s="5"/>
      <c r="U1078" s="5"/>
      <c r="V1078" s="5"/>
      <c r="W1078" s="5"/>
      <c r="X1078" s="5"/>
      <c r="Y1078" s="5"/>
      <c r="Z1078" s="5"/>
    </row>
    <row r="1079" spans="1:26" ht="15.6" x14ac:dyDescent="0.3">
      <c r="A1079" s="19" t="s">
        <v>23</v>
      </c>
      <c r="B1079" s="26" t="s">
        <v>1084</v>
      </c>
      <c r="C1079" s="2" t="str">
        <f ca="1">IFERROR(__xludf.DUMMYFUNCTION("GOOGLETRANSLATE(B1079, ""bn"", ""en"")"),"We did not get a clear strong condemnation from Bangladesh. Surely Allah is the sole guardian of the Qur'an.")</f>
        <v>We did not get a clear strong condemnation from Bangladesh. Surely Allah is the sole guardian of the Qur'an.</v>
      </c>
      <c r="D1079" s="5"/>
      <c r="E1079" s="5"/>
      <c r="F1079" s="5"/>
      <c r="G1079" s="5"/>
      <c r="H1079" s="5"/>
      <c r="I1079" s="5"/>
      <c r="J1079" s="5"/>
      <c r="K1079" s="5"/>
      <c r="L1079" s="5"/>
      <c r="M1079" s="5"/>
      <c r="N1079" s="5"/>
      <c r="O1079" s="5"/>
      <c r="P1079" s="5"/>
      <c r="Q1079" s="5"/>
      <c r="R1079" s="5"/>
      <c r="S1079" s="5"/>
      <c r="T1079" s="5"/>
      <c r="U1079" s="5"/>
      <c r="V1079" s="5"/>
      <c r="W1079" s="5"/>
      <c r="X1079" s="5"/>
      <c r="Y1079" s="5"/>
      <c r="Z1079" s="5"/>
    </row>
    <row r="1080" spans="1:26" ht="15.6" x14ac:dyDescent="0.3">
      <c r="A1080" s="18" t="s">
        <v>23</v>
      </c>
      <c r="B1080" s="25" t="s">
        <v>1085</v>
      </c>
      <c r="C1080" s="2" t="str">
        <f ca="1">IFERROR(__xludf.DUMMYFUNCTION("GOOGLETRANSLATE(B1080, ""bn"", ""en"")"),"Durga Puja and Eid are two religious festivals; Since 2014, they have been involved in politics.")</f>
        <v>Durga Puja and Eid are two religious festivals; Since 2014, they have been involved in politics.</v>
      </c>
      <c r="D1080" s="2"/>
      <c r="E1080" s="2"/>
      <c r="F1080" s="2"/>
      <c r="G1080" s="2"/>
      <c r="H1080" s="3"/>
      <c r="I1080" s="3"/>
      <c r="J1080" s="3"/>
      <c r="K1080" s="3"/>
      <c r="L1080" s="3"/>
      <c r="M1080" s="3"/>
      <c r="N1080" s="3"/>
      <c r="O1080" s="3"/>
      <c r="P1080" s="3"/>
      <c r="Q1080" s="3"/>
      <c r="R1080" s="3"/>
      <c r="S1080" s="3"/>
      <c r="T1080" s="3"/>
      <c r="U1080" s="3"/>
      <c r="V1080" s="3"/>
      <c r="W1080" s="3"/>
      <c r="X1080" s="3"/>
      <c r="Y1080" s="3"/>
      <c r="Z1080" s="3"/>
    </row>
    <row r="1081" spans="1:26" ht="15.6" x14ac:dyDescent="0.3">
      <c r="A1081" s="19" t="s">
        <v>3</v>
      </c>
      <c r="B1081" s="26" t="s">
        <v>1086</v>
      </c>
      <c r="C1081" s="2" t="str">
        <f ca="1">IFERROR(__xludf.DUMMYFUNCTION("GOOGLETRANSLATE(B1081, ""bn"", ""en"")"),"Religious greetings cause confusion and division in anti-religious conflicts. It is important to maintain peace, not violence.")</f>
        <v>Religious greetings cause confusion and division in anti-religious conflicts. It is important to maintain peace, not violence.</v>
      </c>
      <c r="D1081" s="7"/>
      <c r="E1081" s="7"/>
      <c r="F1081" s="7"/>
      <c r="G1081" s="5"/>
      <c r="H1081" s="5"/>
      <c r="I1081" s="5"/>
      <c r="J1081" s="5"/>
      <c r="K1081" s="5"/>
      <c r="L1081" s="5"/>
      <c r="M1081" s="5"/>
      <c r="N1081" s="5"/>
      <c r="O1081" s="5"/>
      <c r="P1081" s="5"/>
      <c r="Q1081" s="5"/>
      <c r="R1081" s="5"/>
      <c r="S1081" s="5"/>
      <c r="T1081" s="5"/>
      <c r="U1081" s="5"/>
      <c r="V1081" s="5"/>
      <c r="W1081" s="5"/>
      <c r="X1081" s="5"/>
      <c r="Y1081" s="5"/>
      <c r="Z1081" s="5"/>
    </row>
    <row r="1082" spans="1:26" ht="15.6" x14ac:dyDescent="0.3">
      <c r="A1082" s="19" t="s">
        <v>5</v>
      </c>
      <c r="B1082" s="26" t="s">
        <v>1087</v>
      </c>
      <c r="C1082" s="2" t="str">
        <f ca="1">IFERROR(__xludf.DUMMYFUNCTION("GOOGLETRANSLATE(B1082, ""bn"", ""en"")"),"Trust is hard to gain despite verbal soft-spoken assurances; Religious people are fleeing for their lives, seeking God's help in difficult situations at the precious moment of life.")</f>
        <v>Trust is hard to gain despite verbal soft-spoken assurances; Religious people are fleeing for their lives, seeking God's help in difficult situations at the precious moment of life.</v>
      </c>
      <c r="D1082" s="7"/>
      <c r="E1082" s="7"/>
      <c r="F1082" s="7"/>
      <c r="G1082" s="7"/>
      <c r="H1082" s="7"/>
      <c r="I1082" s="7"/>
      <c r="J1082" s="7"/>
      <c r="K1082" s="7"/>
      <c r="L1082" s="7"/>
      <c r="M1082" s="5"/>
      <c r="N1082" s="5"/>
      <c r="O1082" s="5"/>
      <c r="P1082" s="5"/>
      <c r="Q1082" s="5"/>
      <c r="R1082" s="5"/>
      <c r="S1082" s="5"/>
      <c r="T1082" s="5"/>
      <c r="U1082" s="5"/>
      <c r="V1082" s="5"/>
      <c r="W1082" s="5"/>
      <c r="X1082" s="5"/>
      <c r="Y1082" s="5"/>
      <c r="Z1082" s="5"/>
    </row>
    <row r="1083" spans="1:26" ht="15.6" x14ac:dyDescent="0.3">
      <c r="A1083" s="18" t="s">
        <v>23</v>
      </c>
      <c r="B1083" s="24" t="s">
        <v>1088</v>
      </c>
      <c r="C1083" s="2" t="str">
        <f ca="1">IFERROR(__xludf.DUMMYFUNCTION("GOOGLETRANSLATE(B1083, ""bn"", ""en"")"),"If there are temples in this country the problem increases, these Hindu cultures should be stopped now.")</f>
        <v>If there are temples in this country the problem increases, these Hindu cultures should be stopped now.</v>
      </c>
      <c r="D1083" s="5"/>
      <c r="E1083" s="5"/>
      <c r="F1083" s="5"/>
      <c r="G1083" s="5"/>
      <c r="H1083" s="5"/>
      <c r="I1083" s="5"/>
      <c r="J1083" s="5"/>
      <c r="K1083" s="5"/>
      <c r="L1083" s="5"/>
      <c r="M1083" s="5"/>
      <c r="N1083" s="5"/>
      <c r="O1083" s="5"/>
      <c r="P1083" s="5"/>
      <c r="Q1083" s="5"/>
      <c r="R1083" s="5"/>
      <c r="S1083" s="5"/>
      <c r="T1083" s="5"/>
      <c r="U1083" s="5"/>
      <c r="V1083" s="5"/>
      <c r="W1083" s="5"/>
      <c r="X1083" s="5"/>
      <c r="Y1083" s="5"/>
      <c r="Z1083" s="5"/>
    </row>
    <row r="1084" spans="1:26" ht="15.6" x14ac:dyDescent="0.3">
      <c r="A1084" s="19" t="s">
        <v>5</v>
      </c>
      <c r="B1084" s="26" t="s">
        <v>1089</v>
      </c>
      <c r="C1084" s="2" t="str">
        <f ca="1">IFERROR(__xludf.DUMMYFUNCTION("GOOGLETRANSLATE(B1084, ""bn"", ""en"")"),"Bangladesh Hindu Buddhist Christian Oikya Parishad has given the highest importance to the statement of the Chief Adviser's Office against the information given by Bangladesh Hindu Buddhist Christian Oikya Parishad that 23 people were killed in communal v"&amp;"iolence in the last four and a half months of 2024.")</f>
        <v>Bangladesh Hindu Buddhist Christian Oikya Parishad has given the highest importance to the statement of the Chief Adviser's Office against the information given by Bangladesh Hindu Buddhist Christian Oikya Parishad that 23 people were killed in communal violence in the last four and a half months of 2024.</v>
      </c>
      <c r="D1084" s="5"/>
      <c r="E1084" s="5"/>
      <c r="F1084" s="5"/>
      <c r="G1084" s="5"/>
      <c r="H1084" s="5"/>
      <c r="I1084" s="5"/>
      <c r="J1084" s="5"/>
      <c r="K1084" s="5"/>
      <c r="L1084" s="5"/>
      <c r="M1084" s="5"/>
      <c r="N1084" s="5"/>
      <c r="O1084" s="5"/>
      <c r="P1084" s="5"/>
      <c r="Q1084" s="5"/>
      <c r="R1084" s="5"/>
      <c r="S1084" s="5"/>
      <c r="T1084" s="5"/>
      <c r="U1084" s="5"/>
      <c r="V1084" s="5"/>
      <c r="W1084" s="5"/>
      <c r="X1084" s="5"/>
      <c r="Y1084" s="5"/>
      <c r="Z1084" s="5"/>
    </row>
    <row r="1085" spans="1:26" ht="15.6" x14ac:dyDescent="0.3">
      <c r="A1085" s="19" t="s">
        <v>3</v>
      </c>
      <c r="B1085" s="26" t="s">
        <v>1090</v>
      </c>
      <c r="C1085" s="2" t="str">
        <f ca="1">IFERROR(__xludf.DUMMYFUNCTION("GOOGLETRANSLATE(B1085, ""bn"", ""en"")"),"Religion talks about peace, but why so much violence and brutality?")</f>
        <v>Religion talks about peace, but why so much violence and brutality?</v>
      </c>
      <c r="D1085" s="5"/>
      <c r="E1085" s="5"/>
      <c r="F1085" s="5"/>
      <c r="G1085" s="5"/>
      <c r="H1085" s="5"/>
      <c r="I1085" s="5"/>
      <c r="J1085" s="5"/>
      <c r="K1085" s="5"/>
      <c r="L1085" s="5"/>
      <c r="M1085" s="5"/>
      <c r="N1085" s="5"/>
      <c r="O1085" s="5"/>
      <c r="P1085" s="5"/>
      <c r="Q1085" s="5"/>
      <c r="R1085" s="5"/>
      <c r="S1085" s="5"/>
      <c r="T1085" s="5"/>
      <c r="U1085" s="5"/>
      <c r="V1085" s="5"/>
      <c r="W1085" s="5"/>
      <c r="X1085" s="5"/>
      <c r="Y1085" s="5"/>
      <c r="Z1085" s="5"/>
    </row>
    <row r="1086" spans="1:26" ht="15.6" x14ac:dyDescent="0.3">
      <c r="A1086" s="18" t="s">
        <v>23</v>
      </c>
      <c r="B1086" s="25" t="s">
        <v>1091</v>
      </c>
      <c r="C1086" s="2" t="str">
        <f ca="1">IFERROR(__xludf.DUMMYFUNCTION("GOOGLETRANSLATE(B1086, ""bn"", ""en"")"),"Kafirs like you don't calm down until you end up vomiting from your mouth, wait, maybe one day you will know the true history wherever you go on earth or underground, maybe that day there will be nothing but regret.")</f>
        <v>Kafirs like you don't calm down until you end up vomiting from your mouth, wait, maybe one day you will know the true history wherever you go on earth or underground, maybe that day there will be nothing but regret.</v>
      </c>
      <c r="D1086" s="6"/>
      <c r="E1086" s="6"/>
      <c r="F1086" s="6"/>
      <c r="G1086" s="6"/>
      <c r="H1086" s="3"/>
      <c r="I1086" s="3"/>
      <c r="J1086" s="3"/>
      <c r="K1086" s="3"/>
      <c r="L1086" s="3"/>
      <c r="M1086" s="3"/>
      <c r="N1086" s="3"/>
      <c r="O1086" s="3"/>
      <c r="P1086" s="3"/>
      <c r="Q1086" s="3"/>
      <c r="R1086" s="3"/>
      <c r="S1086" s="3"/>
      <c r="T1086" s="3"/>
      <c r="U1086" s="3"/>
      <c r="V1086" s="3"/>
      <c r="W1086" s="3"/>
      <c r="X1086" s="3"/>
      <c r="Y1086" s="3"/>
      <c r="Z1086" s="3"/>
    </row>
    <row r="1087" spans="1:26" ht="15.6" x14ac:dyDescent="0.3">
      <c r="A1087" s="18" t="s">
        <v>23</v>
      </c>
      <c r="B1087" s="25" t="s">
        <v>1092</v>
      </c>
      <c r="C1087" s="2" t="str">
        <f ca="1">IFERROR(__xludf.DUMMYFUNCTION("GOOGLETRANSLATE(B1087, ""bn"", ""en"")"),"These funny posts got a lot of likes, comments, shares - everyone is quite happy to show religion a little lower.")</f>
        <v>These funny posts got a lot of likes, comments, shares - everyone is quite happy to show religion a little lower.</v>
      </c>
      <c r="D1087" s="5"/>
      <c r="E1087" s="5"/>
      <c r="F1087" s="5"/>
      <c r="G1087" s="5"/>
      <c r="H1087" s="5"/>
      <c r="I1087" s="5"/>
      <c r="J1087" s="5"/>
      <c r="K1087" s="5"/>
      <c r="L1087" s="5"/>
      <c r="M1087" s="5"/>
      <c r="N1087" s="5"/>
      <c r="O1087" s="5"/>
      <c r="P1087" s="5"/>
      <c r="Q1087" s="5"/>
      <c r="R1087" s="5"/>
      <c r="S1087" s="5"/>
      <c r="T1087" s="5"/>
      <c r="U1087" s="5"/>
      <c r="V1087" s="5"/>
      <c r="W1087" s="5"/>
      <c r="X1087" s="5"/>
      <c r="Y1087" s="5"/>
      <c r="Z1087" s="5"/>
    </row>
    <row r="1088" spans="1:26" ht="15.6" x14ac:dyDescent="0.3">
      <c r="A1088" s="18" t="s">
        <v>5</v>
      </c>
      <c r="B1088" s="25" t="s">
        <v>1093</v>
      </c>
      <c r="C1088" s="2" t="str">
        <f ca="1">IFERROR(__xludf.DUMMYFUNCTION("GOOGLETRANSLATE(B1088, ""bn"", ""en"")"),"The religious extremism of the Islamic State (IS) in the Middle East has led to massacres of many minority Yazidis, Christians and Shia Muslims.")</f>
        <v>The religious extremism of the Islamic State (IS) in the Middle East has led to massacres of many minority Yazidis, Christians and Shia Muslims.</v>
      </c>
      <c r="D1088" s="2"/>
      <c r="E1088" s="2"/>
      <c r="F1088" s="2"/>
      <c r="G1088" s="2"/>
      <c r="H1088" s="5"/>
      <c r="I1088" s="5"/>
      <c r="J1088" s="5"/>
      <c r="K1088" s="5"/>
      <c r="L1088" s="5"/>
      <c r="M1088" s="5"/>
      <c r="N1088" s="5"/>
      <c r="O1088" s="5"/>
      <c r="P1088" s="5"/>
      <c r="Q1088" s="5"/>
      <c r="R1088" s="5"/>
      <c r="S1088" s="5"/>
      <c r="T1088" s="5"/>
      <c r="U1088" s="5"/>
      <c r="V1088" s="5"/>
      <c r="W1088" s="5"/>
      <c r="X1088" s="5"/>
      <c r="Y1088" s="5"/>
      <c r="Z1088" s="5"/>
    </row>
    <row r="1089" spans="1:26" ht="15.6" x14ac:dyDescent="0.3">
      <c r="A1089" s="18" t="s">
        <v>8</v>
      </c>
      <c r="B1089" s="25" t="s">
        <v>1094</v>
      </c>
      <c r="C1089" s="2" t="str">
        <f ca="1">IFERROR(__xludf.DUMMYFUNCTION("GOOGLETRANSLATE(B1089, ""bn"", ""en"")"),"Smile with joy when the idol of the god is broken, how do you feel today when your temple is broken?")</f>
        <v>Smile with joy when the idol of the god is broken, how do you feel today when your temple is broken?</v>
      </c>
      <c r="D1089" s="5"/>
      <c r="E1089" s="5"/>
      <c r="F1089" s="5"/>
      <c r="G1089" s="5"/>
      <c r="H1089" s="5"/>
      <c r="I1089" s="5"/>
      <c r="J1089" s="5"/>
      <c r="K1089" s="5"/>
      <c r="L1089" s="5"/>
      <c r="M1089" s="5"/>
      <c r="N1089" s="5"/>
      <c r="O1089" s="5"/>
      <c r="P1089" s="5"/>
      <c r="Q1089" s="5"/>
      <c r="R1089" s="5"/>
      <c r="S1089" s="5"/>
      <c r="T1089" s="5"/>
      <c r="U1089" s="5"/>
      <c r="V1089" s="5"/>
      <c r="W1089" s="5"/>
      <c r="X1089" s="5"/>
      <c r="Y1089" s="5"/>
      <c r="Z1089" s="5"/>
    </row>
    <row r="1090" spans="1:26" ht="15.6" x14ac:dyDescent="0.3">
      <c r="A1090" s="18" t="s">
        <v>23</v>
      </c>
      <c r="B1090" s="25" t="s">
        <v>1095</v>
      </c>
      <c r="C1090" s="2" t="str">
        <f ca="1">IFERROR(__xludf.DUMMYFUNCTION("GOOGLETRANSLATE(B1090, ""bn"", ""en"")"),"By dividing people with religion, people can easily have power, no development question will be asked by people.")</f>
        <v>By dividing people with religion, people can easily have power, no development question will be asked by people.</v>
      </c>
      <c r="D1090" s="2"/>
      <c r="E1090" s="2"/>
      <c r="F1090" s="2"/>
      <c r="G1090" s="2"/>
      <c r="H1090" s="3"/>
      <c r="I1090" s="3"/>
      <c r="J1090" s="3"/>
      <c r="K1090" s="3"/>
      <c r="L1090" s="3"/>
      <c r="M1090" s="3"/>
      <c r="N1090" s="3"/>
      <c r="O1090" s="3"/>
      <c r="P1090" s="3"/>
      <c r="Q1090" s="3"/>
      <c r="R1090" s="3"/>
      <c r="S1090" s="3"/>
      <c r="T1090" s="3"/>
      <c r="U1090" s="3"/>
      <c r="V1090" s="3"/>
      <c r="W1090" s="3"/>
      <c r="X1090" s="3"/>
      <c r="Y1090" s="3"/>
      <c r="Z1090" s="3"/>
    </row>
    <row r="1091" spans="1:26" ht="15.6" x14ac:dyDescent="0.3">
      <c r="A1091" s="18" t="s">
        <v>8</v>
      </c>
      <c r="B1091" s="25" t="s">
        <v>1096</v>
      </c>
      <c r="C1091" s="2" t="str">
        <f ca="1">IFERROR(__xludf.DUMMYFUNCTION("GOOGLETRANSLATE(B1091, ""bn"", ""en"")"),"The Action Force complained to the Prime Minister that it was planned religious violence to destroy the temple; Various Hindu organizations strongly protested against it.")</f>
        <v>The Action Force complained to the Prime Minister that it was planned religious violence to destroy the temple; Various Hindu organizations strongly protested against it.</v>
      </c>
      <c r="D1091" s="5"/>
      <c r="E1091" s="5"/>
      <c r="F1091" s="5"/>
      <c r="G1091" s="5"/>
      <c r="H1091" s="5"/>
      <c r="I1091" s="5"/>
      <c r="J1091" s="5"/>
      <c r="K1091" s="5"/>
      <c r="L1091" s="5"/>
      <c r="M1091" s="5"/>
      <c r="N1091" s="5"/>
      <c r="O1091" s="5"/>
      <c r="P1091" s="5"/>
      <c r="Q1091" s="5"/>
      <c r="R1091" s="5"/>
      <c r="S1091" s="5"/>
      <c r="T1091" s="5"/>
      <c r="U1091" s="5"/>
      <c r="V1091" s="5"/>
      <c r="W1091" s="5"/>
      <c r="X1091" s="5"/>
      <c r="Y1091" s="5"/>
      <c r="Z1091" s="5"/>
    </row>
    <row r="1092" spans="1:26" ht="15.6" x14ac:dyDescent="0.3">
      <c r="A1092" s="18" t="s">
        <v>3</v>
      </c>
      <c r="B1092" s="25" t="s">
        <v>1097</v>
      </c>
      <c r="C1092" s="2" t="str">
        <f ca="1">IFERROR(__xludf.DUMMYFUNCTION("GOOGLETRANSLATE(B1092, ""bn"", ""en"")"),"Sunni and Shia Muslims observe Mid-Sha'ban as a night of forgiveness and redemption, and scholars such as Imam Shafi'i, Imam Nawabi, Imam Ghazali and Imam Suyuti say prayers are acceptable on this night.")</f>
        <v>Sunni and Shia Muslims observe Mid-Sha'ban as a night of forgiveness and redemption, and scholars such as Imam Shafi'i, Imam Nawabi, Imam Ghazali and Imam Suyuti say prayers are acceptable on this night.</v>
      </c>
      <c r="D1092" s="2"/>
      <c r="E1092" s="2"/>
      <c r="F1092" s="2"/>
      <c r="G1092" s="2"/>
      <c r="H1092" s="3"/>
      <c r="I1092" s="3"/>
      <c r="J1092" s="3"/>
      <c r="K1092" s="3"/>
      <c r="L1092" s="3"/>
      <c r="M1092" s="3"/>
      <c r="N1092" s="3"/>
      <c r="O1092" s="3"/>
      <c r="P1092" s="3"/>
      <c r="Q1092" s="3"/>
      <c r="R1092" s="3"/>
      <c r="S1092" s="3"/>
      <c r="T1092" s="3"/>
      <c r="U1092" s="3"/>
      <c r="V1092" s="3"/>
      <c r="W1092" s="3"/>
      <c r="X1092" s="3"/>
      <c r="Y1092" s="3"/>
      <c r="Z1092" s="3"/>
    </row>
    <row r="1093" spans="1:26" ht="15.6" x14ac:dyDescent="0.3">
      <c r="A1093" s="18" t="s">
        <v>23</v>
      </c>
      <c r="B1093" s="25" t="s">
        <v>1098</v>
      </c>
      <c r="C1093" s="2" t="str">
        <f ca="1">IFERROR(__xludf.DUMMYFUNCTION("GOOGLETRANSLATE(B1093, ""bn"", ""en"")"),"I don't want to write anything in the month of Ramadan, because of the situation that has started all around, with religion, daily essential products, it is becoming difficult to keep one's faith and conduct well day by day.")</f>
        <v>I don't want to write anything in the month of Ramadan, because of the situation that has started all around, with religion, daily essential products, it is becoming difficult to keep one's faith and conduct well day by day.</v>
      </c>
      <c r="D1093" s="6"/>
      <c r="E1093" s="2"/>
      <c r="F1093" s="2"/>
      <c r="G1093" s="2"/>
      <c r="H1093" s="5"/>
      <c r="I1093" s="5"/>
      <c r="J1093" s="5"/>
      <c r="K1093" s="5"/>
      <c r="L1093" s="5"/>
      <c r="M1093" s="5"/>
      <c r="N1093" s="5"/>
      <c r="O1093" s="5"/>
      <c r="P1093" s="5"/>
      <c r="Q1093" s="5"/>
      <c r="R1093" s="5"/>
      <c r="S1093" s="5"/>
      <c r="T1093" s="5"/>
      <c r="U1093" s="5"/>
      <c r="V1093" s="5"/>
      <c r="W1093" s="5"/>
      <c r="X1093" s="5"/>
      <c r="Y1093" s="5"/>
      <c r="Z1093" s="5"/>
    </row>
    <row r="1094" spans="1:26" ht="15.6" x14ac:dyDescent="0.3">
      <c r="A1094" s="19" t="s">
        <v>3</v>
      </c>
      <c r="B1094" s="26" t="s">
        <v>1099</v>
      </c>
      <c r="C1094" s="2" t="str">
        <f ca="1">IFERROR(__xludf.DUMMYFUNCTION("GOOGLETRANSLATE(B1094, ""bn"", ""en"")"),"You think of initiatives like 'Know Neighbour' for Hindu-Muslim harmony, 'Kissawala' program for impartial dissemination of history through stories, standing in front of son's dead body and calling for peace. And we Hindu upper caste citizens add our name"&amp;" to your initiative to convey a message of sympathy and unity, Imam Rashidi!")</f>
        <v>You think of initiatives like 'Know Neighbour' for Hindu-Muslim harmony, 'Kissawala' program for impartial dissemination of history through stories, standing in front of son's dead body and calling for peace. And we Hindu upper caste citizens add our name to your initiative to convey a message of sympathy and unity, Imam Rashidi!</v>
      </c>
      <c r="D1094" s="7"/>
      <c r="E1094" s="7"/>
      <c r="F1094" s="7"/>
      <c r="G1094" s="7"/>
      <c r="H1094" s="7"/>
      <c r="I1094" s="7"/>
      <c r="J1094" s="7"/>
      <c r="K1094" s="7"/>
      <c r="L1094" s="7"/>
      <c r="M1094" s="7"/>
      <c r="N1094" s="7"/>
      <c r="O1094" s="7"/>
      <c r="P1094" s="7"/>
      <c r="Q1094" s="7"/>
      <c r="R1094" s="5"/>
      <c r="S1094" s="5"/>
      <c r="T1094" s="5"/>
      <c r="U1094" s="5"/>
      <c r="V1094" s="5"/>
      <c r="W1094" s="5"/>
      <c r="X1094" s="5"/>
      <c r="Y1094" s="5"/>
      <c r="Z1094" s="5"/>
    </row>
    <row r="1095" spans="1:26" ht="15.6" x14ac:dyDescent="0.3">
      <c r="A1095" s="19" t="s">
        <v>5</v>
      </c>
      <c r="B1095" s="26" t="s">
        <v>1100</v>
      </c>
      <c r="C1095" s="2" t="str">
        <f ca="1">IFERROR(__xludf.DUMMYFUNCTION("GOOGLETRANSLATE(B1095, ""bn"", ""en"")"),"In our Chittagong Hill Tracts, it is often seen that communal attitudes on various issues and its internal form have come out and created unusual situations like fights and murders, which we simply identify as riots.")</f>
        <v>In our Chittagong Hill Tracts, it is often seen that communal attitudes on various issues and its internal form have come out and created unusual situations like fights and murders, which we simply identify as riots.</v>
      </c>
      <c r="D1095" s="7"/>
      <c r="E1095" s="7"/>
      <c r="F1095" s="7"/>
      <c r="G1095" s="5"/>
      <c r="H1095" s="5"/>
      <c r="I1095" s="5"/>
      <c r="J1095" s="5"/>
      <c r="K1095" s="5"/>
      <c r="L1095" s="5"/>
      <c r="M1095" s="5"/>
      <c r="N1095" s="5"/>
      <c r="O1095" s="5"/>
      <c r="P1095" s="5"/>
      <c r="Q1095" s="5"/>
      <c r="R1095" s="5"/>
      <c r="S1095" s="5"/>
      <c r="T1095" s="5"/>
      <c r="U1095" s="5"/>
      <c r="V1095" s="5"/>
      <c r="W1095" s="5"/>
      <c r="X1095" s="5"/>
      <c r="Y1095" s="5"/>
      <c r="Z1095" s="5"/>
    </row>
    <row r="1096" spans="1:26" ht="15.6" x14ac:dyDescent="0.3">
      <c r="A1096" s="18" t="s">
        <v>3</v>
      </c>
      <c r="B1096" s="25" t="s">
        <v>1101</v>
      </c>
      <c r="C1096" s="2" t="str">
        <f ca="1">IFERROR(__xludf.DUMMYFUNCTION("GOOGLETRANSLATE(B1096, ""bn"", ""en"")"),"Hearty greetings and best wishes for Autumn Durga Puja to all. May your every hour be filled with joy.")</f>
        <v>Hearty greetings and best wishes for Autumn Durga Puja to all. May your every hour be filled with joy.</v>
      </c>
      <c r="D1096" s="5"/>
      <c r="E1096" s="5"/>
      <c r="F1096" s="5"/>
      <c r="G1096" s="5"/>
      <c r="H1096" s="5"/>
      <c r="I1096" s="5"/>
      <c r="J1096" s="5"/>
      <c r="K1096" s="5"/>
      <c r="L1096" s="5"/>
      <c r="M1096" s="5"/>
      <c r="N1096" s="5"/>
      <c r="O1096" s="5"/>
      <c r="P1096" s="5"/>
      <c r="Q1096" s="5"/>
      <c r="R1096" s="5"/>
      <c r="S1096" s="5"/>
      <c r="T1096" s="5"/>
      <c r="U1096" s="5"/>
      <c r="V1096" s="5"/>
      <c r="W1096" s="5"/>
      <c r="X1096" s="5"/>
      <c r="Y1096" s="5"/>
      <c r="Z1096" s="5"/>
    </row>
    <row r="1097" spans="1:26" ht="15.6" x14ac:dyDescent="0.3">
      <c r="A1097" s="18" t="s">
        <v>8</v>
      </c>
      <c r="B1097" s="25" t="s">
        <v>1102</v>
      </c>
      <c r="C1097" s="2" t="str">
        <f ca="1">IFERROR(__xludf.DUMMYFUNCTION("GOOGLETRANSLATE(B1097, ""bn"", ""en"")"),"Since 2008 till date there has been continuous communal violence in Bangladesh, property of Hindus has been encroached upon.")</f>
        <v>Since 2008 till date there has been continuous communal violence in Bangladesh, property of Hindus has been encroached upon.</v>
      </c>
      <c r="D1097" s="5"/>
      <c r="E1097" s="5"/>
      <c r="F1097" s="5"/>
      <c r="G1097" s="5"/>
      <c r="H1097" s="5"/>
      <c r="I1097" s="5"/>
      <c r="J1097" s="5"/>
      <c r="K1097" s="5"/>
      <c r="L1097" s="5"/>
      <c r="M1097" s="5"/>
      <c r="N1097" s="5"/>
      <c r="O1097" s="5"/>
      <c r="P1097" s="5"/>
      <c r="Q1097" s="5"/>
      <c r="R1097" s="5"/>
      <c r="S1097" s="5"/>
      <c r="T1097" s="5"/>
      <c r="U1097" s="5"/>
      <c r="V1097" s="5"/>
      <c r="W1097" s="5"/>
      <c r="X1097" s="5"/>
      <c r="Y1097" s="5"/>
      <c r="Z1097" s="5"/>
    </row>
    <row r="1098" spans="1:26" ht="15.6" x14ac:dyDescent="0.3">
      <c r="A1098" s="19" t="s">
        <v>5</v>
      </c>
      <c r="B1098" s="26" t="s">
        <v>1103</v>
      </c>
      <c r="C1098" s="2" t="str">
        <f ca="1">IFERROR(__xludf.DUMMYFUNCTION("GOOGLETRANSLATE(B1098, ""bn"", ""en"")"),"Rebels loyal to Islamic State wreaked havoc in Marawi City, killing thousands.")</f>
        <v>Rebels loyal to Islamic State wreaked havoc in Marawi City, killing thousands.</v>
      </c>
      <c r="D1098" s="5"/>
      <c r="E1098" s="5"/>
      <c r="F1098" s="5"/>
      <c r="G1098" s="5"/>
      <c r="H1098" s="5"/>
      <c r="I1098" s="5"/>
      <c r="J1098" s="5"/>
      <c r="K1098" s="5"/>
      <c r="L1098" s="5"/>
      <c r="M1098" s="5"/>
      <c r="N1098" s="5"/>
      <c r="O1098" s="5"/>
      <c r="P1098" s="5"/>
      <c r="Q1098" s="5"/>
      <c r="R1098" s="5"/>
      <c r="S1098" s="5"/>
      <c r="T1098" s="5"/>
      <c r="U1098" s="5"/>
      <c r="V1098" s="5"/>
      <c r="W1098" s="5"/>
      <c r="X1098" s="5"/>
      <c r="Y1098" s="5"/>
      <c r="Z1098" s="5"/>
    </row>
    <row r="1099" spans="1:26" ht="15.6" x14ac:dyDescent="0.3">
      <c r="A1099" s="18" t="s">
        <v>3</v>
      </c>
      <c r="B1099" s="25" t="s">
        <v>1104</v>
      </c>
      <c r="C1099" s="2" t="str">
        <f ca="1">IFERROR(__xludf.DUMMYFUNCTION("GOOGLETRANSLATE(B1099, ""bn"", ""en"")"),"Imam Nawawi quotes from Imam al-Shafi'i's Kitabul-Umm (his seminal work on jurisprudence) in his Majmu' (a comprehensive collection of legal rulings) that there are five nights when du'a (prayer) is accepted, one of which is the night of the 15th of Sha'b"&amp;"an.")</f>
        <v>Imam Nawawi quotes from Imam al-Shafi'i's Kitabul-Umm (his seminal work on jurisprudence) in his Majmu' (a comprehensive collection of legal rulings) that there are five nights when du'a (prayer) is accepted, one of which is the night of the 15th of Sha'ban.</v>
      </c>
      <c r="D1099" s="2"/>
      <c r="E1099" s="2"/>
      <c r="F1099" s="2"/>
      <c r="G1099" s="2"/>
      <c r="H1099" s="3"/>
      <c r="I1099" s="3"/>
      <c r="J1099" s="3"/>
      <c r="K1099" s="3"/>
      <c r="L1099" s="3"/>
      <c r="M1099" s="3"/>
      <c r="N1099" s="3"/>
      <c r="O1099" s="3"/>
      <c r="P1099" s="3"/>
      <c r="Q1099" s="3"/>
      <c r="R1099" s="3"/>
      <c r="S1099" s="3"/>
      <c r="T1099" s="3"/>
      <c r="U1099" s="3"/>
      <c r="V1099" s="3"/>
      <c r="W1099" s="3"/>
      <c r="X1099" s="3"/>
      <c r="Y1099" s="3"/>
      <c r="Z1099" s="3"/>
    </row>
    <row r="1100" spans="1:26" ht="15.6" x14ac:dyDescent="0.3">
      <c r="A1100" s="18" t="s">
        <v>8</v>
      </c>
      <c r="B1100" s="24" t="s">
        <v>1105</v>
      </c>
      <c r="C1100" s="2" t="str">
        <f ca="1">IFERROR(__xludf.DUMMYFUNCTION("GOOGLETRANSLATE(B1100, ""bn"", ""en"")"),"The miscreants crushed the idol's head and hands on the night before Mansa Puja in Chandpur.")</f>
        <v>The miscreants crushed the idol's head and hands on the night before Mansa Puja in Chandpur.</v>
      </c>
      <c r="D1100" s="5"/>
      <c r="E1100" s="5"/>
      <c r="F1100" s="5"/>
      <c r="G1100" s="5"/>
      <c r="H1100" s="5"/>
      <c r="I1100" s="5"/>
      <c r="J1100" s="5"/>
      <c r="K1100" s="5"/>
      <c r="L1100" s="5"/>
      <c r="M1100" s="5"/>
      <c r="N1100" s="5"/>
      <c r="O1100" s="5"/>
      <c r="P1100" s="5"/>
      <c r="Q1100" s="5"/>
      <c r="R1100" s="5"/>
      <c r="S1100" s="5"/>
      <c r="T1100" s="5"/>
      <c r="U1100" s="5"/>
      <c r="V1100" s="5"/>
      <c r="W1100" s="5"/>
      <c r="X1100" s="5"/>
      <c r="Y1100" s="5"/>
      <c r="Z1100" s="5"/>
    </row>
    <row r="1101" spans="1:26" ht="15.6" x14ac:dyDescent="0.3">
      <c r="A1101" s="18" t="s">
        <v>23</v>
      </c>
      <c r="B1101" s="25" t="s">
        <v>1106</v>
      </c>
      <c r="C1101" s="2" t="str">
        <f ca="1">IFERROR(__xludf.DUMMYFUNCTION("GOOGLETRANSLATE(B1101, ""bn"", ""en"")"),"They systematically mistreat Hindus. Harassing, abducting, harassing, intimidating, paining, imprisoning them on false charges of hurting their religious sentiments.")</f>
        <v>They systematically mistreat Hindus. Harassing, abducting, harassing, intimidating, paining, imprisoning them on false charges of hurting their religious sentiments.</v>
      </c>
      <c r="D1101" s="6"/>
      <c r="E1101" s="2"/>
      <c r="F1101" s="2"/>
      <c r="G1101" s="2"/>
      <c r="H1101" s="3"/>
      <c r="I1101" s="3"/>
      <c r="J1101" s="3"/>
      <c r="K1101" s="3"/>
      <c r="L1101" s="3"/>
      <c r="M1101" s="3"/>
      <c r="N1101" s="3"/>
      <c r="O1101" s="3"/>
      <c r="P1101" s="3"/>
      <c r="Q1101" s="3"/>
      <c r="R1101" s="3"/>
      <c r="S1101" s="3"/>
      <c r="T1101" s="3"/>
      <c r="U1101" s="3"/>
      <c r="V1101" s="3"/>
      <c r="W1101" s="3"/>
      <c r="X1101" s="3"/>
      <c r="Y1101" s="3"/>
      <c r="Z1101" s="3"/>
    </row>
    <row r="1102" spans="1:26" ht="15.6" x14ac:dyDescent="0.3">
      <c r="A1102" s="18" t="s">
        <v>5</v>
      </c>
      <c r="B1102" s="24" t="s">
        <v>1107</v>
      </c>
      <c r="C1102" s="2" t="str">
        <f ca="1">IFERROR(__xludf.DUMMYFUNCTION("GOOGLETRANSLATE(B1102, ""bn"", ""en"")"),"In February 2021, a Muslim youth was publicly beheaded for his alleged apostasy, and 17 others were killed in protests.")</f>
        <v>In February 2021, a Muslim youth was publicly beheaded for his alleged apostasy, and 17 others were killed in protests.</v>
      </c>
      <c r="D1102" s="5"/>
      <c r="E1102" s="5"/>
      <c r="F1102" s="5"/>
      <c r="G1102" s="5"/>
      <c r="H1102" s="5"/>
      <c r="I1102" s="5"/>
      <c r="J1102" s="5"/>
      <c r="K1102" s="5"/>
      <c r="L1102" s="5"/>
      <c r="M1102" s="5"/>
      <c r="N1102" s="5"/>
      <c r="O1102" s="5"/>
      <c r="P1102" s="5"/>
      <c r="Q1102" s="5"/>
      <c r="R1102" s="5"/>
      <c r="S1102" s="5"/>
      <c r="T1102" s="5"/>
      <c r="U1102" s="5"/>
      <c r="V1102" s="5"/>
      <c r="W1102" s="5"/>
      <c r="X1102" s="5"/>
      <c r="Y1102" s="5"/>
      <c r="Z1102" s="5"/>
    </row>
    <row r="1103" spans="1:26" ht="15.6" x14ac:dyDescent="0.3">
      <c r="A1103" s="18" t="s">
        <v>8</v>
      </c>
      <c r="B1103" s="25" t="s">
        <v>1108</v>
      </c>
      <c r="C1103" s="2" t="str">
        <f ca="1">IFERROR(__xludf.DUMMYFUNCTION("GOOGLETRANSLATE(B1103, ""bn"", ""en"")"),"From the day of Ashtami till today, you have given the death of almost every place where the houses, houses, monasteries, temples and businesses of Sanatan religious people have been affected.")</f>
        <v>From the day of Ashtami till today, you have given the death of almost every place where the houses, houses, monasteries, temples and businesses of Sanatan religious people have been affected.</v>
      </c>
      <c r="D1103" s="2"/>
      <c r="E1103" s="2"/>
      <c r="F1103" s="2"/>
      <c r="G1103" s="2"/>
      <c r="H1103" s="5"/>
      <c r="I1103" s="5"/>
      <c r="J1103" s="5"/>
      <c r="K1103" s="5"/>
      <c r="L1103" s="5"/>
      <c r="M1103" s="5"/>
      <c r="N1103" s="5"/>
      <c r="O1103" s="5"/>
      <c r="P1103" s="5"/>
      <c r="Q1103" s="5"/>
      <c r="R1103" s="5"/>
      <c r="S1103" s="5"/>
      <c r="T1103" s="5"/>
      <c r="U1103" s="5"/>
      <c r="V1103" s="5"/>
      <c r="W1103" s="5"/>
      <c r="X1103" s="5"/>
      <c r="Y1103" s="5"/>
      <c r="Z1103" s="5"/>
    </row>
    <row r="1104" spans="1:26" ht="15.6" x14ac:dyDescent="0.3">
      <c r="A1104" s="18" t="s">
        <v>5</v>
      </c>
      <c r="B1104" s="24" t="s">
        <v>1109</v>
      </c>
      <c r="C1104" s="2" t="str">
        <f ca="1">IFERROR(__xludf.DUMMYFUNCTION("GOOGLETRANSLATE(B1104, ""bn"", ""en"")"),"In September 2017, a group of religious extremists banned girls from sports; 15 people were killed by violence against those who went to play.")</f>
        <v>In September 2017, a group of religious extremists banned girls from sports; 15 people were killed by violence against those who went to play.</v>
      </c>
      <c r="D1104" s="5"/>
      <c r="E1104" s="5"/>
      <c r="F1104" s="5"/>
      <c r="G1104" s="5"/>
      <c r="H1104" s="5"/>
      <c r="I1104" s="5"/>
      <c r="J1104" s="5"/>
      <c r="K1104" s="5"/>
      <c r="L1104" s="5"/>
      <c r="M1104" s="5"/>
      <c r="N1104" s="5"/>
      <c r="O1104" s="5"/>
      <c r="P1104" s="5"/>
      <c r="Q1104" s="5"/>
      <c r="R1104" s="5"/>
      <c r="S1104" s="5"/>
      <c r="T1104" s="5"/>
      <c r="U1104" s="5"/>
      <c r="V1104" s="5"/>
      <c r="W1104" s="5"/>
      <c r="X1104" s="5"/>
      <c r="Y1104" s="5"/>
      <c r="Z1104" s="5"/>
    </row>
    <row r="1105" spans="1:26" ht="15.6" x14ac:dyDescent="0.3">
      <c r="A1105" s="18" t="s">
        <v>5</v>
      </c>
      <c r="B1105" s="24" t="s">
        <v>1110</v>
      </c>
      <c r="C1105" s="2" t="str">
        <f ca="1">IFERROR(__xludf.DUMMYFUNCTION("GOOGLETRANSLATE(B1105, ""bn"", ""en"")"),"25 people were killed during a protest against a religious group in Kishoreganj.")</f>
        <v>25 people were killed during a protest against a religious group in Kishoreganj.</v>
      </c>
      <c r="D1105" s="5"/>
      <c r="E1105" s="5"/>
      <c r="F1105" s="5"/>
      <c r="G1105" s="5"/>
      <c r="H1105" s="5"/>
      <c r="I1105" s="5"/>
      <c r="J1105" s="5"/>
      <c r="K1105" s="5"/>
      <c r="L1105" s="5"/>
      <c r="M1105" s="5"/>
      <c r="N1105" s="5"/>
      <c r="O1105" s="5"/>
      <c r="P1105" s="5"/>
      <c r="Q1105" s="5"/>
      <c r="R1105" s="5"/>
      <c r="S1105" s="5"/>
      <c r="T1105" s="5"/>
      <c r="U1105" s="5"/>
      <c r="V1105" s="5"/>
      <c r="W1105" s="5"/>
      <c r="X1105" s="5"/>
      <c r="Y1105" s="5"/>
      <c r="Z1105" s="5"/>
    </row>
    <row r="1106" spans="1:26" ht="15.6" x14ac:dyDescent="0.3">
      <c r="A1106" s="18" t="s">
        <v>23</v>
      </c>
      <c r="B1106" s="24" t="s">
        <v>1111</v>
      </c>
      <c r="C1106" s="2" t="str">
        <f ca="1">IFERROR(__xludf.DUMMYFUNCTION("GOOGLETRANSLATE(B1106, ""bn"", ""en"")"),"Some religious extremists in the Muslim community are spreading their ideologies creating conflicts and riots in the society which is leading to loss of the country.")</f>
        <v>Some religious extremists in the Muslim community are spreading their ideologies creating conflicts and riots in the society which is leading to loss of the country.</v>
      </c>
      <c r="D1106" s="5"/>
      <c r="E1106" s="5"/>
      <c r="F1106" s="5"/>
      <c r="G1106" s="5"/>
      <c r="H1106" s="5"/>
      <c r="I1106" s="5"/>
      <c r="J1106" s="5"/>
      <c r="K1106" s="5"/>
      <c r="L1106" s="5"/>
      <c r="M1106" s="5"/>
      <c r="N1106" s="5"/>
      <c r="O1106" s="5"/>
      <c r="P1106" s="5"/>
      <c r="Q1106" s="5"/>
      <c r="R1106" s="5"/>
      <c r="S1106" s="5"/>
      <c r="T1106" s="5"/>
      <c r="U1106" s="5"/>
      <c r="V1106" s="5"/>
      <c r="W1106" s="5"/>
      <c r="X1106" s="5"/>
      <c r="Y1106" s="5"/>
      <c r="Z1106" s="5"/>
    </row>
    <row r="1107" spans="1:26" ht="15.6" x14ac:dyDescent="0.3">
      <c r="A1107" s="18" t="s">
        <v>23</v>
      </c>
      <c r="B1107" s="25" t="s">
        <v>1112</v>
      </c>
      <c r="C1107" s="2" t="str">
        <f ca="1">IFERROR(__xludf.DUMMYFUNCTION("GOOGLETRANSLATE(B1107, ""bn"", ""en"")"),"If you think Islam and science are contradictory, either you know little about Islam or you know little about science.")</f>
        <v>If you think Islam and science are contradictory, either you know little about Islam or you know little about science.</v>
      </c>
      <c r="D1107" s="2"/>
      <c r="E1107" s="2"/>
      <c r="F1107" s="2"/>
      <c r="G1107" s="2"/>
      <c r="H1107" s="3"/>
      <c r="I1107" s="3"/>
      <c r="J1107" s="3"/>
      <c r="K1107" s="3"/>
      <c r="L1107" s="3"/>
      <c r="M1107" s="3"/>
      <c r="N1107" s="3"/>
      <c r="O1107" s="3"/>
      <c r="P1107" s="3"/>
      <c r="Q1107" s="3"/>
      <c r="R1107" s="3"/>
      <c r="S1107" s="3"/>
      <c r="T1107" s="3"/>
      <c r="U1107" s="3"/>
      <c r="V1107" s="3"/>
      <c r="W1107" s="3"/>
      <c r="X1107" s="3"/>
      <c r="Y1107" s="3"/>
      <c r="Z1107" s="3"/>
    </row>
    <row r="1108" spans="1:26" ht="15.6" x14ac:dyDescent="0.3">
      <c r="A1108" s="18" t="s">
        <v>23</v>
      </c>
      <c r="B1108" s="25" t="s">
        <v>1113</v>
      </c>
      <c r="C1108" s="2" t="str">
        <f ca="1">IFERROR(__xludf.DUMMYFUNCTION("GOOGLETRANSLATE(B1108, ""bn"", ""en"")"),"Religious mullahs are busy destroying the country, and political fanatics protect them in the name of religion, this is the real danger.")</f>
        <v>Religious mullahs are busy destroying the country, and political fanatics protect them in the name of religion, this is the real danger.</v>
      </c>
      <c r="D1108" s="5"/>
      <c r="E1108" s="5"/>
      <c r="F1108" s="5"/>
      <c r="G1108" s="5"/>
      <c r="H1108" s="5"/>
      <c r="I1108" s="5"/>
      <c r="J1108" s="5"/>
      <c r="K1108" s="5"/>
      <c r="L1108" s="5"/>
      <c r="M1108" s="5"/>
      <c r="N1108" s="5"/>
      <c r="O1108" s="5"/>
      <c r="P1108" s="5"/>
      <c r="Q1108" s="5"/>
      <c r="R1108" s="5"/>
      <c r="S1108" s="5"/>
      <c r="T1108" s="5"/>
      <c r="U1108" s="5"/>
      <c r="V1108" s="5"/>
      <c r="W1108" s="5"/>
      <c r="X1108" s="5"/>
      <c r="Y1108" s="5"/>
      <c r="Z1108" s="5"/>
    </row>
    <row r="1109" spans="1:26" ht="15.6" x14ac:dyDescent="0.3">
      <c r="A1109" s="18" t="s">
        <v>8</v>
      </c>
      <c r="B1109" s="24" t="s">
        <v>1114</v>
      </c>
      <c r="C1109" s="2" t="str">
        <f ca="1">IFERROR(__xludf.DUMMYFUNCTION("GOOGLETRANSLATE(B1109, ""bn"", ""en"")"),"In Bogra's Gokul Union, the idols made of idols were broken inside the temple under construction.")</f>
        <v>In Bogra's Gokul Union, the idols made of idols were broken inside the temple under construction.</v>
      </c>
      <c r="D1109" s="5"/>
      <c r="E1109" s="5"/>
      <c r="F1109" s="5"/>
      <c r="G1109" s="5"/>
      <c r="H1109" s="5"/>
      <c r="I1109" s="5"/>
      <c r="J1109" s="5"/>
      <c r="K1109" s="5"/>
      <c r="L1109" s="5"/>
      <c r="M1109" s="5"/>
      <c r="N1109" s="5"/>
      <c r="O1109" s="5"/>
      <c r="P1109" s="5"/>
      <c r="Q1109" s="5"/>
      <c r="R1109" s="5"/>
      <c r="S1109" s="5"/>
      <c r="T1109" s="5"/>
      <c r="U1109" s="5"/>
      <c r="V1109" s="5"/>
      <c r="W1109" s="5"/>
      <c r="X1109" s="5"/>
      <c r="Y1109" s="5"/>
      <c r="Z1109" s="5"/>
    </row>
    <row r="1110" spans="1:26" ht="15.6" x14ac:dyDescent="0.3">
      <c r="A1110" s="18" t="s">
        <v>3</v>
      </c>
      <c r="B1110" s="25" t="s">
        <v>1115</v>
      </c>
      <c r="C1110" s="2" t="str">
        <f ca="1">IFERROR(__xludf.DUMMYFUNCTION("GOOGLETRANSLATE(B1110, ""bn"", ""en"")"),"It is very important for Muslim children to be united. Not Muslim by name, but by work and Muslim should be identified.")</f>
        <v>It is very important for Muslim children to be united. Not Muslim by name, but by work and Muslim should be identified.</v>
      </c>
      <c r="D1110" s="5"/>
      <c r="E1110" s="5"/>
      <c r="F1110" s="5"/>
      <c r="G1110" s="5"/>
      <c r="H1110" s="5"/>
      <c r="I1110" s="5"/>
      <c r="J1110" s="5"/>
      <c r="K1110" s="5"/>
      <c r="L1110" s="5"/>
      <c r="M1110" s="5"/>
      <c r="N1110" s="5"/>
      <c r="O1110" s="5"/>
      <c r="P1110" s="5"/>
      <c r="Q1110" s="5"/>
      <c r="R1110" s="5"/>
      <c r="S1110" s="5"/>
      <c r="T1110" s="5"/>
      <c r="U1110" s="5"/>
      <c r="V1110" s="5"/>
      <c r="W1110" s="5"/>
      <c r="X1110" s="5"/>
      <c r="Y1110" s="5"/>
      <c r="Z1110" s="5"/>
    </row>
    <row r="1111" spans="1:26" ht="15.6" x14ac:dyDescent="0.3">
      <c r="A1111" s="18" t="s">
        <v>3</v>
      </c>
      <c r="B1111" s="25" t="s">
        <v>1116</v>
      </c>
      <c r="C1111" s="2" t="str">
        <f ca="1">IFERROR(__xludf.DUMMYFUNCTION("GOOGLETRANSLATE(B1111, ""bn"", ""en"")"),"People's passion for Islam in Bangladesh is strong, major deterioration of relations centered on religious feelings is not yet dangerous.")</f>
        <v>People's passion for Islam in Bangladesh is strong, major deterioration of relations centered on religious feelings is not yet dangerous.</v>
      </c>
      <c r="D1111" s="5"/>
      <c r="E1111" s="5"/>
      <c r="F1111" s="5"/>
      <c r="G1111" s="5"/>
      <c r="H1111" s="5"/>
      <c r="I1111" s="5"/>
      <c r="J1111" s="5"/>
      <c r="K1111" s="5"/>
      <c r="L1111" s="5"/>
      <c r="M1111" s="5"/>
      <c r="N1111" s="5"/>
      <c r="O1111" s="5"/>
      <c r="P1111" s="5"/>
      <c r="Q1111" s="5"/>
      <c r="R1111" s="5"/>
      <c r="S1111" s="5"/>
      <c r="T1111" s="5"/>
      <c r="U1111" s="5"/>
      <c r="V1111" s="5"/>
      <c r="W1111" s="5"/>
      <c r="X1111" s="5"/>
      <c r="Y1111" s="5"/>
      <c r="Z1111" s="5"/>
    </row>
    <row r="1112" spans="1:26" ht="15.6" x14ac:dyDescent="0.3">
      <c r="A1112" s="18" t="s">
        <v>8</v>
      </c>
      <c r="B1112" s="25" t="s">
        <v>1117</v>
      </c>
      <c r="C1112" s="2" t="str">
        <f ca="1">IFERROR(__xludf.DUMMYFUNCTION("GOOGLETRANSLATE(B1112, ""bn"", ""en"")"),"On Wednesday morning, October 13, 2021, an attack was carried out on a worship hall on the banks of Nanua Dighi in Comilla on the charge of desecrating the Quran. After that several more places of worship were attacked.")</f>
        <v>On Wednesday morning, October 13, 2021, an attack was carried out on a worship hall on the banks of Nanua Dighi in Comilla on the charge of desecrating the Quran. After that several more places of worship were attacked.</v>
      </c>
      <c r="D1112" s="2"/>
      <c r="E1112" s="2"/>
      <c r="F1112" s="2"/>
      <c r="G1112" s="2"/>
      <c r="H1112" s="3"/>
      <c r="I1112" s="3"/>
      <c r="J1112" s="3"/>
      <c r="K1112" s="3"/>
      <c r="L1112" s="3"/>
      <c r="M1112" s="3"/>
      <c r="N1112" s="3"/>
      <c r="O1112" s="3"/>
      <c r="P1112" s="3"/>
      <c r="Q1112" s="3"/>
      <c r="R1112" s="3"/>
      <c r="S1112" s="3"/>
      <c r="T1112" s="3"/>
      <c r="U1112" s="3"/>
      <c r="V1112" s="3"/>
      <c r="W1112" s="3"/>
      <c r="X1112" s="3"/>
      <c r="Y1112" s="3"/>
      <c r="Z1112" s="3"/>
    </row>
    <row r="1113" spans="1:26" ht="15.6" x14ac:dyDescent="0.3">
      <c r="A1113" s="18" t="s">
        <v>5</v>
      </c>
      <c r="B1113" s="24" t="s">
        <v>1118</v>
      </c>
      <c r="C1113" s="2" t="str">
        <f ca="1">IFERROR(__xludf.DUMMYFUNCTION("GOOGLETRANSLATE(B1113, ""bn"", ""en"")"),"45 people killed in Pabna religious unrest clash. While the police failed to quell the violence, the government ordered calm and a sense of religious duty. Many families leave the village for security reasons.")</f>
        <v>45 people killed in Pabna religious unrest clash. While the police failed to quell the violence, the government ordered calm and a sense of religious duty. Many families leave the village for security reasons.</v>
      </c>
      <c r="D1113" s="5"/>
      <c r="E1113" s="5"/>
      <c r="F1113" s="5"/>
      <c r="G1113" s="5"/>
      <c r="H1113" s="5"/>
      <c r="I1113" s="5"/>
      <c r="J1113" s="5"/>
      <c r="K1113" s="5"/>
      <c r="L1113" s="5"/>
      <c r="M1113" s="5"/>
      <c r="N1113" s="5"/>
      <c r="O1113" s="5"/>
      <c r="P1113" s="5"/>
      <c r="Q1113" s="5"/>
      <c r="R1113" s="5"/>
      <c r="S1113" s="5"/>
      <c r="T1113" s="5"/>
      <c r="U1113" s="5"/>
      <c r="V1113" s="5"/>
      <c r="W1113" s="5"/>
      <c r="X1113" s="5"/>
      <c r="Y1113" s="5"/>
      <c r="Z1113" s="5"/>
    </row>
    <row r="1114" spans="1:26" ht="15.6" x14ac:dyDescent="0.3">
      <c r="A1114" s="18" t="s">
        <v>3</v>
      </c>
      <c r="B1114" s="24" t="s">
        <v>1119</v>
      </c>
      <c r="C1114" s="2" t="str">
        <f ca="1">IFERROR(__xludf.DUMMYFUNCTION("GOOGLETRANSLATE(B1114, ""bn"", ""en"")"),"Remembrance of God in times of sorrow increases mental strength.")</f>
        <v>Remembrance of God in times of sorrow increases mental strength.</v>
      </c>
      <c r="D1114" s="5"/>
      <c r="E1114" s="5"/>
      <c r="F1114" s="5"/>
      <c r="G1114" s="5"/>
      <c r="H1114" s="5"/>
      <c r="I1114" s="5"/>
      <c r="J1114" s="5"/>
      <c r="K1114" s="5"/>
      <c r="L1114" s="5"/>
      <c r="M1114" s="5"/>
      <c r="N1114" s="5"/>
      <c r="O1114" s="5"/>
      <c r="P1114" s="5"/>
      <c r="Q1114" s="5"/>
      <c r="R1114" s="5"/>
      <c r="S1114" s="5"/>
      <c r="T1114" s="5"/>
      <c r="U1114" s="5"/>
      <c r="V1114" s="5"/>
      <c r="W1114" s="5"/>
      <c r="X1114" s="5"/>
      <c r="Y1114" s="5"/>
      <c r="Z1114" s="5"/>
    </row>
    <row r="1115" spans="1:26" ht="15.6" x14ac:dyDescent="0.3">
      <c r="A1115" s="18" t="s">
        <v>23</v>
      </c>
      <c r="B1115" s="25" t="s">
        <v>1120</v>
      </c>
      <c r="C1115" s="2" t="str">
        <f ca="1">IFERROR(__xludf.DUMMYFUNCTION("GOOGLETRANSLATE(B1115, ""bn"", ""en"")"),"If gay-ism was natural, then the most natural work in the world, 'giving birth to children', another soul could be brought into the world!")</f>
        <v>If gay-ism was natural, then the most natural work in the world, 'giving birth to children', another soul could be brought into the world!</v>
      </c>
      <c r="D1115" s="5"/>
      <c r="E1115" s="5"/>
      <c r="F1115" s="5"/>
      <c r="G1115" s="5"/>
      <c r="H1115" s="5"/>
      <c r="I1115" s="5"/>
      <c r="J1115" s="5"/>
      <c r="K1115" s="5"/>
      <c r="L1115" s="5"/>
      <c r="M1115" s="5"/>
      <c r="N1115" s="5"/>
      <c r="O1115" s="5"/>
      <c r="P1115" s="5"/>
      <c r="Q1115" s="5"/>
      <c r="R1115" s="5"/>
      <c r="S1115" s="5"/>
      <c r="T1115" s="5"/>
      <c r="U1115" s="5"/>
      <c r="V1115" s="5"/>
      <c r="W1115" s="5"/>
      <c r="X1115" s="5"/>
      <c r="Y1115" s="5"/>
      <c r="Z1115" s="5"/>
    </row>
    <row r="1116" spans="1:26" ht="15.6" x14ac:dyDescent="0.3">
      <c r="A1116" s="18" t="s">
        <v>23</v>
      </c>
      <c r="B1116" s="25" t="s">
        <v>1121</v>
      </c>
      <c r="C1116" s="2" t="str">
        <f ca="1">IFERROR(__xludf.DUMMYFUNCTION("GOOGLETRANSLATE(B1116, ""bn"", ""en"")"),"Those who burn Quran, they are enemies of humanity, they are animals that hate Islam, civilization is not for them.")</f>
        <v>Those who burn Quran, they are enemies of humanity, they are animals that hate Islam, civilization is not for them.</v>
      </c>
      <c r="D1116" s="5"/>
      <c r="E1116" s="5"/>
      <c r="F1116" s="5"/>
      <c r="G1116" s="5"/>
      <c r="H1116" s="5"/>
      <c r="I1116" s="5"/>
      <c r="J1116" s="5"/>
      <c r="K1116" s="5"/>
      <c r="L1116" s="5"/>
      <c r="M1116" s="5"/>
      <c r="N1116" s="5"/>
      <c r="O1116" s="5"/>
      <c r="P1116" s="5"/>
      <c r="Q1116" s="5"/>
      <c r="R1116" s="5"/>
      <c r="S1116" s="5"/>
      <c r="T1116" s="5"/>
      <c r="U1116" s="5"/>
      <c r="V1116" s="5"/>
      <c r="W1116" s="5"/>
      <c r="X1116" s="5"/>
      <c r="Y1116" s="5"/>
      <c r="Z1116" s="5"/>
    </row>
    <row r="1117" spans="1:26" ht="15.6" x14ac:dyDescent="0.3">
      <c r="A1117" s="18" t="s">
        <v>8</v>
      </c>
      <c r="B1117" s="25" t="s">
        <v>1122</v>
      </c>
      <c r="C1117" s="2" t="str">
        <f ca="1">IFERROR(__xludf.DUMMYFUNCTION("GOOGLETRANSLATE(B1117, ""bn"", ""en"")"),"Hindus of Boalia village in Sukash union of Natore district were threatened if they did not go to vote. Despite that, three Hindus went to vote on January 5. After the election, their house was set on fire.")</f>
        <v>Hindus of Boalia village in Sukash union of Natore district were threatened if they did not go to vote. Despite that, three Hindus went to vote on January 5. After the election, their house was set on fire.</v>
      </c>
      <c r="D1117" s="5"/>
      <c r="E1117" s="5"/>
      <c r="F1117" s="5"/>
      <c r="G1117" s="5"/>
      <c r="H1117" s="5"/>
      <c r="I1117" s="5"/>
      <c r="J1117" s="5"/>
      <c r="K1117" s="5"/>
      <c r="L1117" s="5"/>
      <c r="M1117" s="5"/>
      <c r="N1117" s="5"/>
      <c r="O1117" s="5"/>
      <c r="P1117" s="5"/>
      <c r="Q1117" s="5"/>
      <c r="R1117" s="5"/>
      <c r="S1117" s="5"/>
      <c r="T1117" s="5"/>
      <c r="U1117" s="5"/>
      <c r="V1117" s="5"/>
      <c r="W1117" s="5"/>
      <c r="X1117" s="5"/>
      <c r="Y1117" s="5"/>
      <c r="Z1117" s="5"/>
    </row>
    <row r="1118" spans="1:26" ht="15.6" x14ac:dyDescent="0.3">
      <c r="A1118" s="19" t="s">
        <v>23</v>
      </c>
      <c r="B1118" s="26" t="s">
        <v>1123</v>
      </c>
      <c r="C1118" s="2" t="str">
        <f ca="1">IFERROR(__xludf.DUMMYFUNCTION("GOOGLETRANSLATE(B1118, ""bn"", ""en"")"),"There is nothing wrong with words. He is talking like a madman. He is crazy. Need to see a doctor.")</f>
        <v>There is nothing wrong with words. He is talking like a madman. He is crazy. Need to see a doctor.</v>
      </c>
      <c r="D1118" s="5"/>
      <c r="E1118" s="5"/>
      <c r="F1118" s="5"/>
      <c r="G1118" s="5"/>
      <c r="H1118" s="5"/>
      <c r="I1118" s="5"/>
      <c r="J1118" s="5"/>
      <c r="K1118" s="5"/>
      <c r="L1118" s="5"/>
      <c r="M1118" s="5"/>
      <c r="N1118" s="5"/>
      <c r="O1118" s="5"/>
      <c r="P1118" s="5"/>
      <c r="Q1118" s="5"/>
      <c r="R1118" s="5"/>
      <c r="S1118" s="5"/>
      <c r="T1118" s="5"/>
      <c r="U1118" s="5"/>
      <c r="V1118" s="5"/>
      <c r="W1118" s="5"/>
      <c r="X1118" s="5"/>
      <c r="Y1118" s="5"/>
      <c r="Z1118" s="5"/>
    </row>
    <row r="1119" spans="1:26" ht="15.6" x14ac:dyDescent="0.3">
      <c r="A1119" s="18" t="s">
        <v>8</v>
      </c>
      <c r="B1119" s="25" t="s">
        <v>1124</v>
      </c>
      <c r="C1119" s="2" t="str">
        <f ca="1">IFERROR(__xludf.DUMMYFUNCTION("GOOGLETRANSLATE(B1119, ""bn"", ""en"")"),"At one point on October 16, three villages were attacked, vandalized and looted in Pirganj Upazila of Rangpur, accusing them of 'offensive comments' on the Kaaba Sharif's photo on Facebook.")</f>
        <v>At one point on October 16, three villages were attacked, vandalized and looted in Pirganj Upazila of Rangpur, accusing them of 'offensive comments' on the Kaaba Sharif's photo on Facebook.</v>
      </c>
      <c r="D1119" s="2"/>
      <c r="E1119" s="2"/>
      <c r="F1119" s="2"/>
      <c r="G1119" s="2"/>
      <c r="H1119" s="3"/>
      <c r="I1119" s="3"/>
      <c r="J1119" s="3"/>
      <c r="K1119" s="3"/>
      <c r="L1119" s="3"/>
      <c r="M1119" s="3"/>
      <c r="N1119" s="3"/>
      <c r="O1119" s="3"/>
      <c r="P1119" s="3"/>
      <c r="Q1119" s="3"/>
      <c r="R1119" s="3"/>
      <c r="S1119" s="3"/>
      <c r="T1119" s="3"/>
      <c r="U1119" s="3"/>
      <c r="V1119" s="3"/>
      <c r="W1119" s="3"/>
      <c r="X1119" s="3"/>
      <c r="Y1119" s="3"/>
      <c r="Z1119" s="3"/>
    </row>
    <row r="1120" spans="1:26" ht="15.6" x14ac:dyDescent="0.3">
      <c r="A1120" s="18" t="s">
        <v>3</v>
      </c>
      <c r="B1120" s="25" t="s">
        <v>1125</v>
      </c>
      <c r="C1120" s="2" t="str">
        <f ca="1">IFERROR(__xludf.DUMMYFUNCTION("GOOGLETRANSLATE(B1120, ""bn"", ""en"")"),"Although Bangladesh has a Muslim majority, there is an influence of secularism, where the government and administration operate within certain constraints.")</f>
        <v>Although Bangladesh has a Muslim majority, there is an influence of secularism, where the government and administration operate within certain constraints.</v>
      </c>
      <c r="D1120" s="5"/>
      <c r="E1120" s="5"/>
      <c r="F1120" s="5"/>
      <c r="G1120" s="5"/>
      <c r="H1120" s="5"/>
      <c r="I1120" s="5"/>
      <c r="J1120" s="5"/>
      <c r="K1120" s="5"/>
      <c r="L1120" s="5"/>
      <c r="M1120" s="5"/>
      <c r="N1120" s="5"/>
      <c r="O1120" s="5"/>
      <c r="P1120" s="5"/>
      <c r="Q1120" s="5"/>
      <c r="R1120" s="5"/>
      <c r="S1120" s="5"/>
      <c r="T1120" s="5"/>
      <c r="U1120" s="5"/>
      <c r="V1120" s="5"/>
      <c r="W1120" s="5"/>
      <c r="X1120" s="5"/>
      <c r="Y1120" s="5"/>
      <c r="Z1120" s="5"/>
    </row>
    <row r="1121" spans="1:26" ht="15.6" x14ac:dyDescent="0.3">
      <c r="A1121" s="18" t="s">
        <v>23</v>
      </c>
      <c r="B1121" s="25" t="s">
        <v>1126</v>
      </c>
      <c r="C1121" s="2" t="str">
        <f ca="1">IFERROR(__xludf.DUMMYFUNCTION("GOOGLETRANSLATE(B1121, ""bn"", ""en"")"),"Many lives have been lost in clashes over religious differences, which have become a tragic example of violence.")</f>
        <v>Many lives have been lost in clashes over religious differences, which have become a tragic example of violence.</v>
      </c>
      <c r="D1121" s="2"/>
      <c r="E1121" s="2"/>
      <c r="F1121" s="2"/>
      <c r="G1121" s="2"/>
      <c r="H1121" s="5"/>
      <c r="I1121" s="5"/>
      <c r="J1121" s="5"/>
      <c r="K1121" s="5"/>
      <c r="L1121" s="5"/>
      <c r="M1121" s="5"/>
      <c r="N1121" s="5"/>
      <c r="O1121" s="5"/>
      <c r="P1121" s="5"/>
      <c r="Q1121" s="5"/>
      <c r="R1121" s="5"/>
      <c r="S1121" s="5"/>
      <c r="T1121" s="5"/>
      <c r="U1121" s="5"/>
      <c r="V1121" s="5"/>
      <c r="W1121" s="5"/>
      <c r="X1121" s="5"/>
      <c r="Y1121" s="5"/>
      <c r="Z1121" s="5"/>
    </row>
    <row r="1122" spans="1:26" ht="15.6" x14ac:dyDescent="0.3">
      <c r="A1122" s="19" t="s">
        <v>23</v>
      </c>
      <c r="B1122" s="26" t="s">
        <v>1127</v>
      </c>
      <c r="C1122" s="2" t="str">
        <f ca="1">IFERROR(__xludf.DUMMYFUNCTION("GOOGLETRANSLATE(B1122, ""bn"", ""en"")"),"If Taskin's wife were to wear western clothes, Sequid would be criticized; Like Shakib's wife. Such is their nature, it is better not to care.")</f>
        <v>If Taskin's wife were to wear western clothes, Sequid would be criticized; Like Shakib's wife. Such is their nature, it is better not to care.</v>
      </c>
      <c r="D1122" s="7"/>
      <c r="E1122" s="7"/>
      <c r="F1122" s="7"/>
      <c r="G1122" s="7"/>
      <c r="H1122" s="7"/>
      <c r="I1122" s="7"/>
      <c r="J1122" s="7"/>
      <c r="K1122" s="5"/>
      <c r="L1122" s="5"/>
      <c r="M1122" s="5"/>
      <c r="N1122" s="5"/>
      <c r="O1122" s="5"/>
      <c r="P1122" s="5"/>
      <c r="Q1122" s="5"/>
      <c r="R1122" s="5"/>
      <c r="S1122" s="5"/>
      <c r="T1122" s="5"/>
      <c r="U1122" s="5"/>
      <c r="V1122" s="5"/>
      <c r="W1122" s="5"/>
      <c r="X1122" s="5"/>
      <c r="Y1122" s="5"/>
      <c r="Z1122" s="5"/>
    </row>
    <row r="1123" spans="1:26" ht="15.6" x14ac:dyDescent="0.3">
      <c r="A1123" s="19" t="s">
        <v>5</v>
      </c>
      <c r="B1123" s="26" t="s">
        <v>1128</v>
      </c>
      <c r="C1123" s="2" t="str">
        <f ca="1">IFERROR(__xludf.DUMMYFUNCTION("GOOGLETRANSLATE(B1123, ""bn"", ""en"")"),"On 22 May 1987, the Hashimpura massacre occurred during Hindu-Muslim riots in the city of Meerut in the state of Uttar Pradesh, when 19 members of the Provincial Armed Constabulary (PAC) allegedly arrested 42 Muslim youths from Hashimpura Mohalla (local).")</f>
        <v>On 22 May 1987, the Hashimpura massacre occurred during Hindu-Muslim riots in the city of Meerut in the state of Uttar Pradesh, when 19 members of the Provincial Armed Constabulary (PAC) allegedly arrested 42 Muslim youths from Hashimpura Mohalla (local).</v>
      </c>
      <c r="D1123" s="5"/>
      <c r="E1123" s="5"/>
      <c r="F1123" s="5"/>
      <c r="G1123" s="5"/>
      <c r="H1123" s="5"/>
      <c r="I1123" s="5"/>
      <c r="J1123" s="5"/>
      <c r="K1123" s="5"/>
      <c r="L1123" s="5"/>
      <c r="M1123" s="5"/>
      <c r="N1123" s="5"/>
      <c r="O1123" s="5"/>
      <c r="P1123" s="5"/>
      <c r="Q1123" s="5"/>
      <c r="R1123" s="5"/>
      <c r="S1123" s="5"/>
      <c r="T1123" s="5"/>
      <c r="U1123" s="5"/>
      <c r="V1123" s="5"/>
      <c r="W1123" s="5"/>
      <c r="X1123" s="5"/>
      <c r="Y1123" s="5"/>
      <c r="Z1123" s="5"/>
    </row>
    <row r="1124" spans="1:26" ht="15.6" x14ac:dyDescent="0.3">
      <c r="A1124" s="18" t="s">
        <v>23</v>
      </c>
      <c r="B1124" s="25" t="s">
        <v>1129</v>
      </c>
      <c r="C1124" s="2" t="str">
        <f ca="1">IFERROR(__xludf.DUMMYFUNCTION("GOOGLETRANSLATE(B1124, ""bn"", ""en"")"),"Those who abuse Islam should be dragged to the streets and punished, the law always fails to protect Muslims.")</f>
        <v>Those who abuse Islam should be dragged to the streets and punished, the law always fails to protect Muslims.</v>
      </c>
      <c r="D1124" s="5"/>
      <c r="E1124" s="5"/>
      <c r="F1124" s="5"/>
      <c r="G1124" s="5"/>
      <c r="H1124" s="5"/>
      <c r="I1124" s="5"/>
      <c r="J1124" s="5"/>
      <c r="K1124" s="5"/>
      <c r="L1124" s="5"/>
      <c r="M1124" s="5"/>
      <c r="N1124" s="5"/>
      <c r="O1124" s="5"/>
      <c r="P1124" s="5"/>
      <c r="Q1124" s="5"/>
      <c r="R1124" s="5"/>
      <c r="S1124" s="5"/>
      <c r="T1124" s="5"/>
      <c r="U1124" s="5"/>
      <c r="V1124" s="5"/>
      <c r="W1124" s="5"/>
      <c r="X1124" s="5"/>
      <c r="Y1124" s="5"/>
      <c r="Z1124" s="5"/>
    </row>
    <row r="1125" spans="1:26" ht="15.6" x14ac:dyDescent="0.3">
      <c r="A1125" s="18" t="s">
        <v>5</v>
      </c>
      <c r="B1125" s="25" t="s">
        <v>1130</v>
      </c>
      <c r="C1125" s="2" t="str">
        <f ca="1">IFERROR(__xludf.DUMMYFUNCTION("GOOGLETRANSLATE(B1125, ""bn"", ""en"")"),"People of different religions were among the dead in the brutal attack motivated by religious hatred. Many others have lost their lives in religious violence who have been tortured to death for simply being of a different religious group.")</f>
        <v>People of different religions were among the dead in the brutal attack motivated by religious hatred. Many others have lost their lives in religious violence who have been tortured to death for simply being of a different religious group.</v>
      </c>
      <c r="D1125" s="5"/>
      <c r="E1125" s="5"/>
      <c r="F1125" s="5"/>
      <c r="G1125" s="5"/>
      <c r="H1125" s="5"/>
      <c r="I1125" s="5"/>
      <c r="J1125" s="5"/>
      <c r="K1125" s="5"/>
      <c r="L1125" s="5"/>
      <c r="M1125" s="5"/>
      <c r="N1125" s="5"/>
      <c r="O1125" s="5"/>
      <c r="P1125" s="5"/>
      <c r="Q1125" s="5"/>
      <c r="R1125" s="5"/>
      <c r="S1125" s="5"/>
      <c r="T1125" s="5"/>
      <c r="U1125" s="5"/>
      <c r="V1125" s="5"/>
      <c r="W1125" s="5"/>
      <c r="X1125" s="5"/>
      <c r="Y1125" s="5"/>
      <c r="Z1125" s="5"/>
    </row>
    <row r="1126" spans="1:26" ht="15.6" x14ac:dyDescent="0.3">
      <c r="A1126" s="18" t="s">
        <v>5</v>
      </c>
      <c r="B1126" s="24" t="s">
        <v>1131</v>
      </c>
      <c r="C1126" s="2" t="str">
        <f ca="1">IFERROR(__xludf.DUMMYFUNCTION("GOOGLETRANSLATE(B1126, ""bn"", ""en"")"),"In January 2021, a group of religious groups imposed taxes on minorities; If they cannot pay, they burn the house; 25 people lost their lives.")</f>
        <v>In January 2021, a group of religious groups imposed taxes on minorities; If they cannot pay, they burn the house; 25 people lost their lives.</v>
      </c>
      <c r="D1126" s="5"/>
      <c r="E1126" s="5"/>
      <c r="F1126" s="5"/>
      <c r="G1126" s="5"/>
      <c r="H1126" s="5"/>
      <c r="I1126" s="5"/>
      <c r="J1126" s="5"/>
      <c r="K1126" s="5"/>
      <c r="L1126" s="5"/>
      <c r="M1126" s="5"/>
      <c r="N1126" s="5"/>
      <c r="O1126" s="5"/>
      <c r="P1126" s="5"/>
      <c r="Q1126" s="5"/>
      <c r="R1126" s="5"/>
      <c r="S1126" s="5"/>
      <c r="T1126" s="5"/>
      <c r="U1126" s="5"/>
      <c r="V1126" s="5"/>
      <c r="W1126" s="5"/>
      <c r="X1126" s="5"/>
      <c r="Y1126" s="5"/>
      <c r="Z1126" s="5"/>
    </row>
    <row r="1127" spans="1:26" ht="15.6" x14ac:dyDescent="0.3">
      <c r="A1127" s="19" t="s">
        <v>23</v>
      </c>
      <c r="B1127" s="26" t="s">
        <v>1132</v>
      </c>
      <c r="C1127" s="2" t="str">
        <f ca="1">IFERROR(__xludf.DUMMYFUNCTION("GOOGLETRANSLATE(B1127, ""bn"", ""en"")"),"The teaser of the Bangladeshi movie 'Commando' has been removed from the social media Facebook and YouTube after a Khatib of Bangladesh complained of insulting religion.")</f>
        <v>The teaser of the Bangladeshi movie 'Commando' has been removed from the social media Facebook and YouTube after a Khatib of Bangladesh complained of insulting religion.</v>
      </c>
      <c r="D1127" s="5"/>
      <c r="E1127" s="5"/>
      <c r="F1127" s="5"/>
      <c r="G1127" s="5"/>
      <c r="H1127" s="5"/>
      <c r="I1127" s="5"/>
      <c r="J1127" s="5"/>
      <c r="K1127" s="5"/>
      <c r="L1127" s="5"/>
      <c r="M1127" s="5"/>
      <c r="N1127" s="5"/>
      <c r="O1127" s="5"/>
      <c r="P1127" s="5"/>
      <c r="Q1127" s="5"/>
      <c r="R1127" s="5"/>
      <c r="S1127" s="5"/>
      <c r="T1127" s="5"/>
      <c r="U1127" s="5"/>
      <c r="V1127" s="5"/>
      <c r="W1127" s="5"/>
      <c r="X1127" s="5"/>
      <c r="Y1127" s="5"/>
      <c r="Z1127" s="5"/>
    </row>
    <row r="1128" spans="1:26" ht="15.6" x14ac:dyDescent="0.3">
      <c r="A1128" s="18" t="s">
        <v>8</v>
      </c>
      <c r="B1128" s="25" t="s">
        <v>1133</v>
      </c>
      <c r="C1128" s="2" t="str">
        <f ca="1">IFERROR(__xludf.DUMMYFUNCTION("GOOGLETRANSLATE(B1128, ""bn"", ""en"")"),"The attackers used petrol to set the houses on fire. The remote island of Sandwip did not have motor vehicles or petrol so Hindus had to bring petrol from the mainland to burn their homes.")</f>
        <v>The attackers used petrol to set the houses on fire. The remote island of Sandwip did not have motor vehicles or petrol so Hindus had to bring petrol from the mainland to burn their homes.</v>
      </c>
      <c r="D1128" s="5"/>
      <c r="E1128" s="5"/>
      <c r="F1128" s="5"/>
      <c r="G1128" s="5"/>
      <c r="H1128" s="5"/>
      <c r="I1128" s="5"/>
      <c r="J1128" s="5"/>
      <c r="K1128" s="5"/>
      <c r="L1128" s="5"/>
      <c r="M1128" s="5"/>
      <c r="N1128" s="5"/>
      <c r="O1128" s="5"/>
      <c r="P1128" s="5"/>
      <c r="Q1128" s="5"/>
      <c r="R1128" s="5"/>
      <c r="S1128" s="5"/>
      <c r="T1128" s="5"/>
      <c r="U1128" s="5"/>
      <c r="V1128" s="5"/>
      <c r="W1128" s="5"/>
      <c r="X1128" s="5"/>
      <c r="Y1128" s="5"/>
      <c r="Z1128" s="5"/>
    </row>
    <row r="1129" spans="1:26" ht="15.6" x14ac:dyDescent="0.3">
      <c r="A1129" s="18" t="s">
        <v>23</v>
      </c>
      <c r="B1129" s="25" t="s">
        <v>1134</v>
      </c>
      <c r="C1129" s="2" t="str">
        <f ca="1">IFERROR(__xludf.DUMMYFUNCTION("GOOGLETRANSLATE(B1129, ""bn"", ""en"")"),"This infidel was seen in our month of Ramadan, may Allah guide you, Ameen")</f>
        <v>This infidel was seen in our month of Ramadan, may Allah guide you, Ameen</v>
      </c>
      <c r="D1129" s="2"/>
      <c r="E1129" s="2"/>
      <c r="F1129" s="2"/>
      <c r="G1129" s="2"/>
      <c r="H1129" s="5"/>
      <c r="I1129" s="5"/>
      <c r="J1129" s="5"/>
      <c r="K1129" s="5"/>
      <c r="L1129" s="5"/>
      <c r="M1129" s="5"/>
      <c r="N1129" s="5"/>
      <c r="O1129" s="5"/>
      <c r="P1129" s="5"/>
      <c r="Q1129" s="5"/>
      <c r="R1129" s="5"/>
      <c r="S1129" s="5"/>
      <c r="T1129" s="5"/>
      <c r="U1129" s="5"/>
      <c r="V1129" s="5"/>
      <c r="W1129" s="5"/>
      <c r="X1129" s="5"/>
      <c r="Y1129" s="5"/>
      <c r="Z1129" s="5"/>
    </row>
    <row r="1130" spans="1:26" ht="15.6" x14ac:dyDescent="0.3">
      <c r="A1130" s="18" t="s">
        <v>5</v>
      </c>
      <c r="B1130" s="25" t="s">
        <v>1135</v>
      </c>
      <c r="C1130" s="2" t="str">
        <f ca="1">IFERROR(__xludf.DUMMYFUNCTION("GOOGLETRANSLATE(B1130, ""bn"", ""en"")"),"On the holy day of Eid, religious extremists targeted the police near the Jamaat in Kishoreganj, killing innocent people and setting an example of terrorism in the name of religion.")</f>
        <v>On the holy day of Eid, religious extremists targeted the police near the Jamaat in Kishoreganj, killing innocent people and setting an example of terrorism in the name of religion.</v>
      </c>
      <c r="D1130" s="2"/>
      <c r="E1130" s="2"/>
      <c r="F1130" s="2"/>
      <c r="G1130" s="2"/>
      <c r="H1130" s="3"/>
      <c r="I1130" s="3"/>
      <c r="J1130" s="3"/>
      <c r="K1130" s="3"/>
      <c r="L1130" s="3"/>
      <c r="M1130" s="3"/>
      <c r="N1130" s="3"/>
      <c r="O1130" s="3"/>
      <c r="P1130" s="3"/>
      <c r="Q1130" s="3"/>
      <c r="R1130" s="3"/>
      <c r="S1130" s="3"/>
      <c r="T1130" s="3"/>
      <c r="U1130" s="3"/>
      <c r="V1130" s="3"/>
      <c r="W1130" s="3"/>
      <c r="X1130" s="3"/>
      <c r="Y1130" s="3"/>
      <c r="Z1130" s="3"/>
    </row>
    <row r="1131" spans="1:26" ht="15.6" x14ac:dyDescent="0.3">
      <c r="A1131" s="18" t="s">
        <v>5</v>
      </c>
      <c r="B1131" s="24" t="s">
        <v>1136</v>
      </c>
      <c r="C1131" s="2" t="str">
        <f ca="1">IFERROR(__xludf.DUMMYFUNCTION("GOOGLETRANSLATE(B1131, ""bn"", ""en"")"),"23 people were killed in a riot over alleged cow slaughter in a panchayat due to religious differences.")</f>
        <v>23 people were killed in a riot over alleged cow slaughter in a panchayat due to religious differences.</v>
      </c>
      <c r="D1131" s="5"/>
      <c r="E1131" s="5"/>
      <c r="F1131" s="5"/>
      <c r="G1131" s="5"/>
      <c r="H1131" s="5"/>
      <c r="I1131" s="5"/>
      <c r="J1131" s="5"/>
      <c r="K1131" s="5"/>
      <c r="L1131" s="5"/>
      <c r="M1131" s="5"/>
      <c r="N1131" s="5"/>
      <c r="O1131" s="5"/>
      <c r="P1131" s="5"/>
      <c r="Q1131" s="5"/>
      <c r="R1131" s="5"/>
      <c r="S1131" s="5"/>
      <c r="T1131" s="5"/>
      <c r="U1131" s="5"/>
      <c r="V1131" s="5"/>
      <c r="W1131" s="5"/>
      <c r="X1131" s="5"/>
      <c r="Y1131" s="5"/>
      <c r="Z1131" s="5"/>
    </row>
    <row r="1132" spans="1:26" ht="15.6" x14ac:dyDescent="0.3">
      <c r="A1132" s="18" t="s">
        <v>3</v>
      </c>
      <c r="B1132" s="25" t="s">
        <v>1137</v>
      </c>
      <c r="C1132" s="2" t="str">
        <f ca="1">IFERROR(__xludf.DUMMYFUNCTION("GOOGLETRANSLATE(B1132, ""bn"", ""en"")"),"The true nature of Allah was not very clear in their conception. They believed that Allah had other companions whom they worshiped as subordinate deities.")</f>
        <v>The true nature of Allah was not very clear in their conception. They believed that Allah had other companions whom they worshiped as subordinate deities.</v>
      </c>
      <c r="D1132" s="5"/>
      <c r="E1132" s="5"/>
      <c r="F1132" s="5"/>
      <c r="G1132" s="5"/>
      <c r="H1132" s="5"/>
      <c r="I1132" s="5"/>
      <c r="J1132" s="5"/>
      <c r="K1132" s="5"/>
      <c r="L1132" s="5"/>
      <c r="M1132" s="5"/>
      <c r="N1132" s="5"/>
      <c r="O1132" s="5"/>
      <c r="P1132" s="5"/>
      <c r="Q1132" s="5"/>
      <c r="R1132" s="5"/>
      <c r="S1132" s="5"/>
      <c r="T1132" s="5"/>
      <c r="U1132" s="5"/>
      <c r="V1132" s="5"/>
      <c r="W1132" s="5"/>
      <c r="X1132" s="5"/>
      <c r="Y1132" s="5"/>
      <c r="Z1132" s="5"/>
    </row>
    <row r="1133" spans="1:26" ht="15.6" x14ac:dyDescent="0.3">
      <c r="A1133" s="18" t="s">
        <v>23</v>
      </c>
      <c r="B1133" s="25" t="s">
        <v>1138</v>
      </c>
      <c r="C1133" s="2" t="str">
        <f ca="1">IFERROR(__xludf.DUMMYFUNCTION("GOOGLETRANSLATE(B1133, ""bn"", ""en"")"),"What did a group of atheist children do with our Al Quran, just for political reasons, Hindu brothers were innocent then.")</f>
        <v>What did a group of atheist children do with our Al Quran, just for political reasons, Hindu brothers were innocent then.</v>
      </c>
      <c r="D1133" s="5"/>
      <c r="E1133" s="5"/>
      <c r="F1133" s="5"/>
      <c r="G1133" s="5"/>
      <c r="H1133" s="5"/>
      <c r="I1133" s="5"/>
      <c r="J1133" s="5"/>
      <c r="K1133" s="5"/>
      <c r="L1133" s="5"/>
      <c r="M1133" s="5"/>
      <c r="N1133" s="5"/>
      <c r="O1133" s="5"/>
      <c r="P1133" s="5"/>
      <c r="Q1133" s="5"/>
      <c r="R1133" s="5"/>
      <c r="S1133" s="5"/>
      <c r="T1133" s="5"/>
      <c r="U1133" s="5"/>
      <c r="V1133" s="5"/>
      <c r="W1133" s="5"/>
      <c r="X1133" s="5"/>
      <c r="Y1133" s="5"/>
      <c r="Z1133" s="5"/>
    </row>
    <row r="1134" spans="1:26" ht="15.6" x14ac:dyDescent="0.3">
      <c r="A1134" s="18" t="s">
        <v>23</v>
      </c>
      <c r="B1134" s="25" t="s">
        <v>1139</v>
      </c>
      <c r="C1134" s="2" t="str">
        <f ca="1">IFERROR(__xludf.DUMMYFUNCTION("GOOGLETRANSLATE(B1134, ""bn"", ""en"")"),"And if Munna preaches religion in front of the camera, then you have not seen his stand-up comedy. And how it exposes superstitions. The person who shared the post, you are also like him.")</f>
        <v>And if Munna preaches religion in front of the camera, then you have not seen his stand-up comedy. And how it exposes superstitions. The person who shared the post, you are also like him.</v>
      </c>
      <c r="D1134" s="2"/>
      <c r="E1134" s="2"/>
      <c r="F1134" s="2"/>
      <c r="G1134" s="2"/>
      <c r="H1134" s="3"/>
      <c r="I1134" s="3"/>
      <c r="J1134" s="3"/>
      <c r="K1134" s="3"/>
      <c r="L1134" s="3"/>
      <c r="M1134" s="3"/>
      <c r="N1134" s="3"/>
      <c r="O1134" s="3"/>
      <c r="P1134" s="3"/>
      <c r="Q1134" s="3"/>
      <c r="R1134" s="3"/>
      <c r="S1134" s="3"/>
      <c r="T1134" s="3"/>
      <c r="U1134" s="3"/>
      <c r="V1134" s="3"/>
      <c r="W1134" s="3"/>
      <c r="X1134" s="3"/>
      <c r="Y1134" s="3"/>
      <c r="Z1134" s="3"/>
    </row>
    <row r="1135" spans="1:26" ht="15.6" x14ac:dyDescent="0.3">
      <c r="A1135" s="19" t="s">
        <v>8</v>
      </c>
      <c r="B1135" s="26" t="s">
        <v>1140</v>
      </c>
      <c r="C1135" s="2" t="str">
        <f ca="1">IFERROR(__xludf.DUMMYFUNCTION("GOOGLETRANSLATE(B1135, ""bn"", ""en"")"),"Rivals destroy temple of Hindu family over land dispute in Narail, sparks religious tension.")</f>
        <v>Rivals destroy temple of Hindu family over land dispute in Narail, sparks religious tension.</v>
      </c>
      <c r="D1135" s="5"/>
      <c r="E1135" s="5"/>
      <c r="F1135" s="5"/>
      <c r="G1135" s="5"/>
      <c r="H1135" s="5"/>
      <c r="I1135" s="5"/>
      <c r="J1135" s="5"/>
      <c r="K1135" s="5"/>
      <c r="L1135" s="5"/>
      <c r="M1135" s="5"/>
      <c r="N1135" s="5"/>
      <c r="O1135" s="5"/>
      <c r="P1135" s="5"/>
      <c r="Q1135" s="5"/>
      <c r="R1135" s="5"/>
      <c r="S1135" s="5"/>
      <c r="T1135" s="5"/>
      <c r="U1135" s="5"/>
      <c r="V1135" s="5"/>
      <c r="W1135" s="5"/>
      <c r="X1135" s="5"/>
      <c r="Y1135" s="5"/>
      <c r="Z1135" s="5"/>
    </row>
    <row r="1136" spans="1:26" ht="15.6" x14ac:dyDescent="0.3">
      <c r="A1136" s="18" t="s">
        <v>8</v>
      </c>
      <c r="B1136" s="25" t="s">
        <v>1141</v>
      </c>
      <c r="C1136" s="2" t="str">
        <f ca="1">IFERROR(__xludf.DUMMYFUNCTION("GOOGLETRANSLATE(B1136, ""bn"", ""en"")"),"In order to achieve their interests, in the past they have created riots and riots in the Hindu Muslim community by posting such posts and are continuing to achieve their interests.")</f>
        <v>In order to achieve their interests, in the past they have created riots and riots in the Hindu Muslim community by posting such posts and are continuing to achieve their interests.</v>
      </c>
      <c r="D1136" s="5"/>
      <c r="E1136" s="5"/>
      <c r="F1136" s="5"/>
      <c r="G1136" s="5"/>
      <c r="H1136" s="5"/>
      <c r="I1136" s="5"/>
      <c r="J1136" s="5"/>
      <c r="K1136" s="5"/>
      <c r="L1136" s="5"/>
      <c r="M1136" s="5"/>
      <c r="N1136" s="5"/>
      <c r="O1136" s="5"/>
      <c r="P1136" s="5"/>
      <c r="Q1136" s="5"/>
      <c r="R1136" s="5"/>
      <c r="S1136" s="5"/>
      <c r="T1136" s="5"/>
      <c r="U1136" s="5"/>
      <c r="V1136" s="5"/>
      <c r="W1136" s="5"/>
      <c r="X1136" s="5"/>
      <c r="Y1136" s="5"/>
      <c r="Z1136" s="5"/>
    </row>
    <row r="1137" spans="1:26" ht="15.6" x14ac:dyDescent="0.3">
      <c r="A1137" s="18" t="s">
        <v>23</v>
      </c>
      <c r="B1137" s="25" t="s">
        <v>1142</v>
      </c>
      <c r="C1137" s="2" t="str">
        <f ca="1">IFERROR(__xludf.DUMMYFUNCTION("GOOGLETRANSLATE(B1137, ""bn"", ""en"")"),"Removal of social media accused of baseless posts with extremist views on the holy religion of Islam.")</f>
        <v>Removal of social media accused of baseless posts with extremist views on the holy religion of Islam.</v>
      </c>
      <c r="D1137" s="2"/>
      <c r="E1137" s="2"/>
      <c r="F1137" s="2"/>
      <c r="G1137" s="2"/>
      <c r="H1137" s="5"/>
      <c r="I1137" s="5"/>
      <c r="J1137" s="5"/>
      <c r="K1137" s="5"/>
      <c r="L1137" s="5"/>
      <c r="M1137" s="5"/>
      <c r="N1137" s="5"/>
      <c r="O1137" s="5"/>
      <c r="P1137" s="5"/>
      <c r="Q1137" s="5"/>
      <c r="R1137" s="5"/>
      <c r="S1137" s="5"/>
      <c r="T1137" s="5"/>
      <c r="U1137" s="5"/>
      <c r="V1137" s="5"/>
      <c r="W1137" s="5"/>
      <c r="X1137" s="5"/>
      <c r="Y1137" s="5"/>
      <c r="Z1137" s="5"/>
    </row>
    <row r="1138" spans="1:26" ht="15.6" x14ac:dyDescent="0.3">
      <c r="A1138" s="19" t="s">
        <v>23</v>
      </c>
      <c r="B1138" s="26" t="s">
        <v>1143</v>
      </c>
      <c r="C1138" s="2" t="str">
        <f ca="1">IFERROR(__xludf.DUMMYFUNCTION("GOOGLETRANSLATE(B1138, ""bn"", ""en"")"),"A committee was formed to investigate the incident of keeping the Quran in the worship hall in Comilla. Police arrested two people for spreading live video on Facebook.")</f>
        <v>A committee was formed to investigate the incident of keeping the Quran in the worship hall in Comilla. Police arrested two people for spreading live video on Facebook.</v>
      </c>
      <c r="D1138" s="7"/>
      <c r="E1138" s="7"/>
      <c r="F1138" s="7"/>
      <c r="G1138" s="7"/>
      <c r="H1138" s="7"/>
      <c r="I1138" s="7"/>
      <c r="J1138" s="7"/>
      <c r="K1138" s="7"/>
      <c r="L1138" s="5"/>
      <c r="M1138" s="5"/>
      <c r="N1138" s="5"/>
      <c r="O1138" s="5"/>
      <c r="P1138" s="5"/>
      <c r="Q1138" s="5"/>
      <c r="R1138" s="5"/>
      <c r="S1138" s="5"/>
      <c r="T1138" s="5"/>
      <c r="U1138" s="5"/>
      <c r="V1138" s="5"/>
      <c r="W1138" s="5"/>
      <c r="X1138" s="5"/>
      <c r="Y1138" s="5"/>
      <c r="Z1138" s="5"/>
    </row>
    <row r="1139" spans="1:26" ht="15.6" x14ac:dyDescent="0.3">
      <c r="A1139" s="18" t="s">
        <v>5</v>
      </c>
      <c r="B1139" s="25" t="s">
        <v>1144</v>
      </c>
      <c r="C1139" s="2" t="str">
        <f ca="1">IFERROR(__xludf.DUMMYFUNCTION("GOOGLETRANSLATE(B1139, ""bn"", ""en"")"),"Incidentally, the Hindu Buddhist Christian Unity Council said in a press conference on January 30 that 23 people from the minority community were killed in communal violence across the country.")</f>
        <v>Incidentally, the Hindu Buddhist Christian Unity Council said in a press conference on January 30 that 23 people from the minority community were killed in communal violence across the country.</v>
      </c>
      <c r="D1139" s="5"/>
      <c r="E1139" s="5"/>
      <c r="F1139" s="5"/>
      <c r="G1139" s="5"/>
      <c r="H1139" s="5"/>
      <c r="I1139" s="5"/>
      <c r="J1139" s="5"/>
      <c r="K1139" s="5"/>
      <c r="L1139" s="5"/>
      <c r="M1139" s="5"/>
      <c r="N1139" s="5"/>
      <c r="O1139" s="5"/>
      <c r="P1139" s="5"/>
      <c r="Q1139" s="5"/>
      <c r="R1139" s="5"/>
      <c r="S1139" s="5"/>
      <c r="T1139" s="5"/>
      <c r="U1139" s="5"/>
      <c r="V1139" s="5"/>
      <c r="W1139" s="5"/>
      <c r="X1139" s="5"/>
      <c r="Y1139" s="5"/>
      <c r="Z1139" s="5"/>
    </row>
    <row r="1140" spans="1:26" ht="15.6" x14ac:dyDescent="0.3">
      <c r="A1140" s="18" t="s">
        <v>3</v>
      </c>
      <c r="B1140" s="25" t="s">
        <v>1145</v>
      </c>
      <c r="C1140" s="2" t="str">
        <f ca="1">IFERROR(__xludf.DUMMYFUNCTION("GOOGLETRANSLATE(B1140, ""bn"", ""en"")"),"As a result of obeying Allah's commandments, our path to success in this world and Paradise in the Hereafter is opened.")</f>
        <v>As a result of obeying Allah's commandments, our path to success in this world and Paradise in the Hereafter is opened.</v>
      </c>
      <c r="D1140" s="5"/>
      <c r="E1140" s="5"/>
      <c r="F1140" s="5"/>
      <c r="G1140" s="5"/>
      <c r="H1140" s="5"/>
      <c r="I1140" s="5"/>
      <c r="J1140" s="5"/>
      <c r="K1140" s="5"/>
      <c r="L1140" s="5"/>
      <c r="M1140" s="5"/>
      <c r="N1140" s="5"/>
      <c r="O1140" s="5"/>
      <c r="P1140" s="5"/>
      <c r="Q1140" s="5"/>
      <c r="R1140" s="5"/>
      <c r="S1140" s="5"/>
      <c r="T1140" s="5"/>
      <c r="U1140" s="5"/>
      <c r="V1140" s="5"/>
      <c r="W1140" s="5"/>
      <c r="X1140" s="5"/>
      <c r="Y1140" s="5"/>
      <c r="Z1140" s="5"/>
    </row>
    <row r="1141" spans="1:26" ht="15.6" x14ac:dyDescent="0.3">
      <c r="A1141" s="18" t="s">
        <v>5</v>
      </c>
      <c r="B1141" s="24" t="s">
        <v>1146</v>
      </c>
      <c r="C1141" s="2" t="str">
        <f ca="1">IFERROR(__xludf.DUMMYFUNCTION("GOOGLETRANSLATE(B1141, ""bn"", ""en"")"),"37 people were killed and many houses were burnt in Pabna religious riots. Police tried to maintain peace but violence broke out, leaving many families homeless.")</f>
        <v>37 people were killed and many houses were burnt in Pabna religious riots. Police tried to maintain peace but violence broke out, leaving many families homeless.</v>
      </c>
      <c r="D1141" s="5"/>
      <c r="E1141" s="5"/>
      <c r="F1141" s="5"/>
      <c r="G1141" s="5"/>
      <c r="H1141" s="5"/>
      <c r="I1141" s="5"/>
      <c r="J1141" s="5"/>
      <c r="K1141" s="5"/>
      <c r="L1141" s="5"/>
      <c r="M1141" s="5"/>
      <c r="N1141" s="5"/>
      <c r="O1141" s="5"/>
      <c r="P1141" s="5"/>
      <c r="Q1141" s="5"/>
      <c r="R1141" s="5"/>
      <c r="S1141" s="5"/>
      <c r="T1141" s="5"/>
      <c r="U1141" s="5"/>
      <c r="V1141" s="5"/>
      <c r="W1141" s="5"/>
      <c r="X1141" s="5"/>
      <c r="Y1141" s="5"/>
      <c r="Z1141" s="5"/>
    </row>
    <row r="1142" spans="1:26" ht="15.6" x14ac:dyDescent="0.3">
      <c r="A1142" s="18" t="s">
        <v>8</v>
      </c>
      <c r="B1142" s="25" t="s">
        <v>1147</v>
      </c>
      <c r="C1142" s="2" t="str">
        <f ca="1">IFERROR(__xludf.DUMMYFUNCTION("GOOGLETRANSLATE(B1142, ""bn"", ""en"")"),"An old Ram temple was demolished in 1527 and rebuilt by Emperor Babur in 1528. [1] It has been the focus of conflict between the Hindu and Muslim communities since the eighteenth century, known as the Ayodhya dispute.")</f>
        <v>An old Ram temple was demolished in 1527 and rebuilt by Emperor Babur in 1528. [1] It has been the focus of conflict between the Hindu and Muslim communities since the eighteenth century, known as the Ayodhya dispute.</v>
      </c>
      <c r="D1142" s="5"/>
      <c r="E1142" s="5"/>
      <c r="F1142" s="5"/>
      <c r="G1142" s="5"/>
      <c r="H1142" s="5"/>
      <c r="I1142" s="5"/>
      <c r="J1142" s="5"/>
      <c r="K1142" s="5"/>
      <c r="L1142" s="5"/>
      <c r="M1142" s="5"/>
      <c r="N1142" s="5"/>
      <c r="O1142" s="5"/>
      <c r="P1142" s="5"/>
      <c r="Q1142" s="5"/>
      <c r="R1142" s="5"/>
      <c r="S1142" s="5"/>
      <c r="T1142" s="5"/>
      <c r="U1142" s="5"/>
      <c r="V1142" s="5"/>
      <c r="W1142" s="5"/>
      <c r="X1142" s="5"/>
      <c r="Y1142" s="5"/>
      <c r="Z1142" s="5"/>
    </row>
    <row r="1143" spans="1:26" ht="15.6" x14ac:dyDescent="0.3">
      <c r="A1143" s="19" t="s">
        <v>5</v>
      </c>
      <c r="B1143" s="26" t="s">
        <v>1148</v>
      </c>
      <c r="C1143" s="2" t="str">
        <f ca="1">IFERROR(__xludf.DUMMYFUNCTION("GOOGLETRANSLATE(B1143, ""bn"", ""en"")"),"The way that death will continue to doomsday!")</f>
        <v>The way that death will continue to doomsday!</v>
      </c>
      <c r="D1143" s="5"/>
      <c r="E1143" s="5"/>
      <c r="F1143" s="5"/>
      <c r="G1143" s="5"/>
      <c r="H1143" s="5"/>
      <c r="I1143" s="5"/>
      <c r="J1143" s="5"/>
      <c r="K1143" s="5"/>
      <c r="L1143" s="5"/>
      <c r="M1143" s="5"/>
      <c r="N1143" s="5"/>
      <c r="O1143" s="5"/>
      <c r="P1143" s="5"/>
      <c r="Q1143" s="5"/>
      <c r="R1143" s="5"/>
      <c r="S1143" s="5"/>
      <c r="T1143" s="5"/>
      <c r="U1143" s="5"/>
      <c r="V1143" s="5"/>
      <c r="W1143" s="5"/>
      <c r="X1143" s="5"/>
      <c r="Y1143" s="5"/>
      <c r="Z1143" s="5"/>
    </row>
    <row r="1144" spans="1:26" ht="15.6" x14ac:dyDescent="0.3">
      <c r="A1144" s="18" t="s">
        <v>8</v>
      </c>
      <c r="B1144" s="25" t="s">
        <v>1149</v>
      </c>
      <c r="C1144" s="2" t="str">
        <f ca="1">IFERROR(__xludf.DUMMYFUNCTION("GOOGLETRANSLATE(B1144, ""bn"", ""en"")"),"Often on the way the goods brought by the Hindus from the market were looted by the Muslims. They forcefully take coconuts and betel nuts from the coconut and betel nut plantations of the Hindus.")</f>
        <v>Often on the way the goods brought by the Hindus from the market were looted by the Muslims. They forcefully take coconuts and betel nuts from the coconut and betel nut plantations of the Hindus.</v>
      </c>
      <c r="D1144" s="5"/>
      <c r="E1144" s="5"/>
      <c r="F1144" s="5"/>
      <c r="G1144" s="5"/>
      <c r="H1144" s="5"/>
      <c r="I1144" s="5"/>
      <c r="J1144" s="5"/>
      <c r="K1144" s="5"/>
      <c r="L1144" s="5"/>
      <c r="M1144" s="5"/>
      <c r="N1144" s="5"/>
      <c r="O1144" s="5"/>
      <c r="P1144" s="5"/>
      <c r="Q1144" s="5"/>
      <c r="R1144" s="5"/>
      <c r="S1144" s="5"/>
      <c r="T1144" s="5"/>
      <c r="U1144" s="5"/>
      <c r="V1144" s="5"/>
      <c r="W1144" s="5"/>
      <c r="X1144" s="5"/>
      <c r="Y1144" s="5"/>
      <c r="Z1144" s="5"/>
    </row>
    <row r="1145" spans="1:26" ht="15.6" x14ac:dyDescent="0.3">
      <c r="A1145" s="18" t="s">
        <v>5</v>
      </c>
      <c r="B1145" s="24" t="s">
        <v>1150</v>
      </c>
      <c r="C1145" s="2" t="str">
        <f ca="1">IFERROR(__xludf.DUMMYFUNCTION("GOOGLETRANSLATE(B1145, ""bn"", ""en"")"),"In June 2015, a religious group attacked religious book distributors, killing 20 people.")</f>
        <v>In June 2015, a religious group attacked religious book distributors, killing 20 people.</v>
      </c>
      <c r="D1145" s="5"/>
      <c r="E1145" s="5"/>
      <c r="F1145" s="5"/>
      <c r="G1145" s="5"/>
      <c r="H1145" s="5"/>
      <c r="I1145" s="5"/>
      <c r="J1145" s="5"/>
      <c r="K1145" s="5"/>
      <c r="L1145" s="5"/>
      <c r="M1145" s="5"/>
      <c r="N1145" s="5"/>
      <c r="O1145" s="5"/>
      <c r="P1145" s="5"/>
      <c r="Q1145" s="5"/>
      <c r="R1145" s="5"/>
      <c r="S1145" s="5"/>
      <c r="T1145" s="5"/>
      <c r="U1145" s="5"/>
      <c r="V1145" s="5"/>
      <c r="W1145" s="5"/>
      <c r="X1145" s="5"/>
      <c r="Y1145" s="5"/>
      <c r="Z1145" s="5"/>
    </row>
    <row r="1146" spans="1:26" ht="15.6" x14ac:dyDescent="0.3">
      <c r="A1146" s="18" t="s">
        <v>5</v>
      </c>
      <c r="B1146" s="25" t="s">
        <v>1151</v>
      </c>
      <c r="C1146" s="2" t="str">
        <f ca="1">IFERROR(__xludf.DUMMYFUNCTION("GOOGLETRANSLATE(B1146, ""bn"", ""en"")"),"A xenophobic gunman stormed a place of worship, killing two and taking his own life, further exposing the horrors of religious hatred in the country.")</f>
        <v>A xenophobic gunman stormed a place of worship, killing two and taking his own life, further exposing the horrors of religious hatred in the country.</v>
      </c>
      <c r="D1146" s="5"/>
      <c r="E1146" s="5"/>
      <c r="F1146" s="5"/>
      <c r="G1146" s="5"/>
      <c r="H1146" s="5"/>
      <c r="I1146" s="5"/>
      <c r="J1146" s="5"/>
      <c r="K1146" s="5"/>
      <c r="L1146" s="5"/>
      <c r="M1146" s="5"/>
      <c r="N1146" s="5"/>
      <c r="O1146" s="5"/>
      <c r="P1146" s="5"/>
      <c r="Q1146" s="5"/>
      <c r="R1146" s="5"/>
      <c r="S1146" s="5"/>
      <c r="T1146" s="5"/>
      <c r="U1146" s="5"/>
      <c r="V1146" s="5"/>
      <c r="W1146" s="5"/>
      <c r="X1146" s="5"/>
      <c r="Y1146" s="5"/>
      <c r="Z1146" s="5"/>
    </row>
    <row r="1147" spans="1:26" ht="15.6" x14ac:dyDescent="0.3">
      <c r="A1147" s="18" t="s">
        <v>23</v>
      </c>
      <c r="B1147" s="25" t="s">
        <v>1152</v>
      </c>
      <c r="C1147" s="2" t="str">
        <f ca="1">IFERROR(__xludf.DUMMYFUNCTION("GOOGLETRANSLATE(B1147, ""bn"", ""en"")"),"On January 14 and 15, Hindu passengers of Dhaka-bound train coming from Chittagong and Sirajganj were asked by Muslim thugs to get down at Tongi and Tejgaon.")</f>
        <v>On January 14 and 15, Hindu passengers of Dhaka-bound train coming from Chittagong and Sirajganj were asked by Muslim thugs to get down at Tongi and Tejgaon.</v>
      </c>
      <c r="D1147" s="2"/>
      <c r="E1147" s="2"/>
      <c r="F1147" s="2"/>
      <c r="G1147" s="2"/>
      <c r="H1147" s="5"/>
      <c r="I1147" s="5"/>
      <c r="J1147" s="5"/>
      <c r="K1147" s="5"/>
      <c r="L1147" s="5"/>
      <c r="M1147" s="5"/>
      <c r="N1147" s="5"/>
      <c r="O1147" s="5"/>
      <c r="P1147" s="5"/>
      <c r="Q1147" s="5"/>
      <c r="R1147" s="5"/>
      <c r="S1147" s="5"/>
      <c r="T1147" s="5"/>
      <c r="U1147" s="5"/>
      <c r="V1147" s="5"/>
      <c r="W1147" s="5"/>
      <c r="X1147" s="5"/>
      <c r="Y1147" s="5"/>
      <c r="Z1147" s="5"/>
    </row>
    <row r="1148" spans="1:26" ht="15.6" x14ac:dyDescent="0.3">
      <c r="A1148" s="18" t="s">
        <v>8</v>
      </c>
      <c r="B1148" s="25" t="s">
        <v>1153</v>
      </c>
      <c r="C1148" s="2" t="str">
        <f ca="1">IFERROR(__xludf.DUMMYFUNCTION("GOOGLETRANSLATE(B1148, ""bn"", ""en"")"),"Leaders continue to make violent statements and sometimes orchestrate attacks on Muslims over trivial matters")</f>
        <v>Leaders continue to make violent statements and sometimes orchestrate attacks on Muslims over trivial matters</v>
      </c>
      <c r="D1148" s="7"/>
      <c r="E1148" s="7"/>
      <c r="F1148" s="7"/>
      <c r="G1148" s="7"/>
      <c r="H1148" s="7"/>
      <c r="I1148" s="7"/>
      <c r="J1148" s="7"/>
      <c r="K1148" s="7"/>
      <c r="L1148" s="7"/>
      <c r="M1148" s="7"/>
      <c r="N1148" s="7"/>
      <c r="O1148" s="5"/>
      <c r="P1148" s="5"/>
      <c r="Q1148" s="5"/>
      <c r="R1148" s="5"/>
      <c r="S1148" s="5"/>
      <c r="T1148" s="5"/>
      <c r="U1148" s="5"/>
      <c r="V1148" s="5"/>
      <c r="W1148" s="5"/>
      <c r="X1148" s="5"/>
      <c r="Y1148" s="5"/>
      <c r="Z1148" s="5"/>
    </row>
    <row r="1149" spans="1:26" ht="15.6" x14ac:dyDescent="0.3">
      <c r="A1149" s="19" t="s">
        <v>3</v>
      </c>
      <c r="B1149" s="26" t="s">
        <v>1154</v>
      </c>
      <c r="C1149" s="2" t="str">
        <f ca="1">IFERROR(__xludf.DUMMYFUNCTION("GOOGLETRANSLATE(B1149, ""bn"", ""en"")"),"Although we got independence from Noakhali, we did not get independence from Brahmanbaria.")</f>
        <v>Although we got independence from Noakhali, we did not get independence from Brahmanbaria.</v>
      </c>
      <c r="D1149" s="5"/>
      <c r="E1149" s="5"/>
      <c r="F1149" s="5"/>
      <c r="G1149" s="5"/>
      <c r="H1149" s="5"/>
      <c r="I1149" s="5"/>
      <c r="J1149" s="5"/>
      <c r="K1149" s="5"/>
      <c r="L1149" s="5"/>
      <c r="M1149" s="5"/>
      <c r="N1149" s="5"/>
      <c r="O1149" s="5"/>
      <c r="P1149" s="5"/>
      <c r="Q1149" s="5"/>
      <c r="R1149" s="5"/>
      <c r="S1149" s="5"/>
      <c r="T1149" s="5"/>
      <c r="U1149" s="5"/>
      <c r="V1149" s="5"/>
      <c r="W1149" s="5"/>
      <c r="X1149" s="5"/>
      <c r="Y1149" s="5"/>
      <c r="Z1149" s="5"/>
    </row>
    <row r="1150" spans="1:26" ht="15.6" x14ac:dyDescent="0.3">
      <c r="A1150" s="18" t="s">
        <v>8</v>
      </c>
      <c r="B1150" s="25" t="s">
        <v>1155</v>
      </c>
      <c r="C1150" s="2" t="str">
        <f ca="1">IFERROR(__xludf.DUMMYFUNCTION("GOOGLETRANSLATE(B1150, ""bn"", ""en"")"),"A group of Muslims attacked the house of Chittaranjan Dutta Roy Chowdhury of Shaistaganj under Raipur police station. He put all the members of his family on the roof of the house and made every effort to defend himself by firing a rifle from the roof; Bu"&amp;"t the attackers were outnumbered and his ammunition was almost exhausted.")</f>
        <v>A group of Muslims attacked the house of Chittaranjan Dutta Roy Chowdhury of Shaistaganj under Raipur police station. He put all the members of his family on the roof of the house and made every effort to defend himself by firing a rifle from the roof; But the attackers were outnumbered and his ammunition was almost exhausted.</v>
      </c>
      <c r="D1150" s="6"/>
      <c r="E1150" s="2"/>
      <c r="F1150" s="2"/>
      <c r="G1150" s="2"/>
      <c r="H1150" s="3"/>
      <c r="I1150" s="3"/>
      <c r="J1150" s="3"/>
      <c r="K1150" s="3"/>
      <c r="L1150" s="3"/>
      <c r="M1150" s="3"/>
      <c r="N1150" s="3"/>
      <c r="O1150" s="3"/>
      <c r="P1150" s="3"/>
      <c r="Q1150" s="3"/>
      <c r="R1150" s="3"/>
      <c r="S1150" s="3"/>
      <c r="T1150" s="3"/>
      <c r="U1150" s="3"/>
      <c r="V1150" s="3"/>
      <c r="W1150" s="3"/>
      <c r="X1150" s="3"/>
      <c r="Y1150" s="3"/>
      <c r="Z1150" s="3"/>
    </row>
    <row r="1151" spans="1:26" ht="15.6" x14ac:dyDescent="0.3">
      <c r="A1151" s="18" t="s">
        <v>23</v>
      </c>
      <c r="B1151" s="25" t="s">
        <v>1156</v>
      </c>
      <c r="C1151" s="2" t="str">
        <f ca="1">IFERROR(__xludf.DUMMYFUNCTION("GOOGLETRANSLATE(B1151, ""bn"", ""en"")"),"The police headquarters said that the two responsible for the Bhola Borhanuddin incident have been identified as the ones who hacked Biplab Chandra Vaidya's account and sent messages insulting the Prophet on Messenger.")</f>
        <v>The police headquarters said that the two responsible for the Bhola Borhanuddin incident have been identified as the ones who hacked Biplab Chandra Vaidya's account and sent messages insulting the Prophet on Messenger.</v>
      </c>
      <c r="D1151" s="2"/>
      <c r="E1151" s="2"/>
      <c r="F1151" s="2"/>
      <c r="G1151" s="2"/>
      <c r="H1151" s="5"/>
      <c r="I1151" s="5"/>
      <c r="J1151" s="5"/>
      <c r="K1151" s="5"/>
      <c r="L1151" s="5"/>
      <c r="M1151" s="5"/>
      <c r="N1151" s="5"/>
      <c r="O1151" s="5"/>
      <c r="P1151" s="5"/>
      <c r="Q1151" s="5"/>
      <c r="R1151" s="5"/>
      <c r="S1151" s="5"/>
      <c r="T1151" s="5"/>
      <c r="U1151" s="5"/>
      <c r="V1151" s="5"/>
      <c r="W1151" s="5"/>
      <c r="X1151" s="5"/>
      <c r="Y1151" s="5"/>
      <c r="Z1151" s="5"/>
    </row>
    <row r="1152" spans="1:26" ht="15.6" x14ac:dyDescent="0.3">
      <c r="A1152" s="19" t="s">
        <v>8</v>
      </c>
      <c r="B1152" s="26" t="s">
        <v>1157</v>
      </c>
      <c r="C1152" s="2" t="str">
        <f ca="1">IFERROR(__xludf.DUMMYFUNCTION("GOOGLETRANSLATE(B1152, ""bn"", ""en"")"),"In Bogra, temple locks were broken, idols vandalized, goods stolen")</f>
        <v>In Bogra, temple locks were broken, idols vandalized, goods stolen</v>
      </c>
      <c r="D1152" s="5"/>
      <c r="E1152" s="5"/>
      <c r="F1152" s="5"/>
      <c r="G1152" s="5"/>
      <c r="H1152" s="5"/>
      <c r="I1152" s="5"/>
      <c r="J1152" s="5"/>
      <c r="K1152" s="5"/>
      <c r="L1152" s="5"/>
      <c r="M1152" s="5"/>
      <c r="N1152" s="5"/>
      <c r="O1152" s="5"/>
      <c r="P1152" s="5"/>
      <c r="Q1152" s="5"/>
      <c r="R1152" s="5"/>
      <c r="S1152" s="5"/>
      <c r="T1152" s="5"/>
      <c r="U1152" s="5"/>
      <c r="V1152" s="5"/>
      <c r="W1152" s="5"/>
      <c r="X1152" s="5"/>
      <c r="Y1152" s="5"/>
      <c r="Z1152" s="5"/>
    </row>
    <row r="1153" spans="1:26" ht="15.6" x14ac:dyDescent="0.3">
      <c r="A1153" s="18" t="s">
        <v>8</v>
      </c>
      <c r="B1153" s="25" t="s">
        <v>1158</v>
      </c>
      <c r="C1153" s="2" t="str">
        <f ca="1">IFERROR(__xludf.DUMMYFUNCTION("GOOGLETRANSLATE(B1153, ""bn"", ""en"")"),"On December 8, Hindus of Kutubdia Upazila of Cox's Bazar district were attacked. 14 Hindu temples were looted, set on fire and destroyed. 51 Hindu houses were destroyed in Ali Akbar Dal and 30 were destroyed in Chowfaldani.")</f>
        <v>On December 8, Hindus of Kutubdia Upazila of Cox's Bazar district were attacked. 14 Hindu temples were looted, set on fire and destroyed. 51 Hindu houses were destroyed in Ali Akbar Dal and 30 were destroyed in Chowfaldani.</v>
      </c>
      <c r="D1153" s="5"/>
      <c r="E1153" s="5"/>
      <c r="F1153" s="5"/>
      <c r="G1153" s="5"/>
      <c r="H1153" s="5"/>
      <c r="I1153" s="5"/>
      <c r="J1153" s="5"/>
      <c r="K1153" s="5"/>
      <c r="L1153" s="5"/>
      <c r="M1153" s="5"/>
      <c r="N1153" s="5"/>
      <c r="O1153" s="5"/>
      <c r="P1153" s="5"/>
      <c r="Q1153" s="5"/>
      <c r="R1153" s="5"/>
      <c r="S1153" s="5"/>
      <c r="T1153" s="5"/>
      <c r="U1153" s="5"/>
      <c r="V1153" s="5"/>
      <c r="W1153" s="5"/>
      <c r="X1153" s="5"/>
      <c r="Y1153" s="5"/>
      <c r="Z1153" s="5"/>
    </row>
    <row r="1154" spans="1:26" ht="15.6" x14ac:dyDescent="0.3">
      <c r="A1154" s="18" t="s">
        <v>8</v>
      </c>
      <c r="B1154" s="24" t="s">
        <v>1159</v>
      </c>
      <c r="C1154" s="2" t="str">
        <f ca="1">IFERROR(__xludf.DUMMYFUNCTION("GOOGLETRANSLATE(B1154, ""bn"", ""en"")"),"A Buddhist temple in Bandarban was attacked with hammers at a metal Buddha statue placed in a place of prayer.")</f>
        <v>A Buddhist temple in Bandarban was attacked with hammers at a metal Buddha statue placed in a place of prayer.</v>
      </c>
      <c r="D1154" s="5"/>
      <c r="E1154" s="5"/>
      <c r="F1154" s="5"/>
      <c r="G1154" s="5"/>
      <c r="H1154" s="5"/>
      <c r="I1154" s="5"/>
      <c r="J1154" s="5"/>
      <c r="K1154" s="5"/>
      <c r="L1154" s="5"/>
      <c r="M1154" s="5"/>
      <c r="N1154" s="5"/>
      <c r="O1154" s="5"/>
      <c r="P1154" s="5"/>
      <c r="Q1154" s="5"/>
      <c r="R1154" s="5"/>
      <c r="S1154" s="5"/>
      <c r="T1154" s="5"/>
      <c r="U1154" s="5"/>
      <c r="V1154" s="5"/>
      <c r="W1154" s="5"/>
      <c r="X1154" s="5"/>
      <c r="Y1154" s="5"/>
      <c r="Z1154" s="5"/>
    </row>
    <row r="1155" spans="1:26" ht="15.6" x14ac:dyDescent="0.3">
      <c r="A1155" s="18" t="s">
        <v>5</v>
      </c>
      <c r="B1155" s="25" t="s">
        <v>1160</v>
      </c>
      <c r="C1155" s="2" t="str">
        <f ca="1">IFERROR(__xludf.DUMMYFUNCTION("GOOGLETRANSLATE(B1155, ""bn"", ""en"")"),"The starting point of the incident was the Godra train burning which was allegedly committed by Muslims. [76] During these incidents, young girls were sexually assaulted, burned or hacked to death.")</f>
        <v>The starting point of the incident was the Godra train burning which was allegedly committed by Muslims. [76] During these incidents, young girls were sexually assaulted, burned or hacked to death.</v>
      </c>
      <c r="D1155" s="5"/>
      <c r="E1155" s="5"/>
      <c r="F1155" s="5"/>
      <c r="G1155" s="5"/>
      <c r="H1155" s="5"/>
      <c r="I1155" s="5"/>
      <c r="J1155" s="5"/>
      <c r="K1155" s="5"/>
      <c r="L1155" s="5"/>
      <c r="M1155" s="5"/>
      <c r="N1155" s="5"/>
      <c r="O1155" s="5"/>
      <c r="P1155" s="5"/>
      <c r="Q1155" s="5"/>
      <c r="R1155" s="5"/>
      <c r="S1155" s="5"/>
      <c r="T1155" s="5"/>
      <c r="U1155" s="5"/>
      <c r="V1155" s="5"/>
      <c r="W1155" s="5"/>
      <c r="X1155" s="5"/>
      <c r="Y1155" s="5"/>
      <c r="Z1155" s="5"/>
    </row>
    <row r="1156" spans="1:26" ht="15.6" x14ac:dyDescent="0.3">
      <c r="A1156" s="18" t="s">
        <v>3</v>
      </c>
      <c r="B1156" s="25" t="s">
        <v>1161</v>
      </c>
      <c r="C1156" s="2" t="str">
        <f ca="1">IFERROR(__xludf.DUMMYFUNCTION("GOOGLETRANSLATE(B1156, ""bn"", ""en"")"),"Ummah Muhammad will be rewarded with a thousand months of worship and deeds. This night is referred to as the blessed night in another place of the Quran")</f>
        <v>Ummah Muhammad will be rewarded with a thousand months of worship and deeds. This night is referred to as the blessed night in another place of the Quran</v>
      </c>
      <c r="D1156" s="5"/>
      <c r="E1156" s="5"/>
      <c r="F1156" s="5"/>
      <c r="G1156" s="5"/>
      <c r="H1156" s="5"/>
      <c r="I1156" s="5"/>
      <c r="J1156" s="5"/>
      <c r="K1156" s="5"/>
      <c r="L1156" s="5"/>
      <c r="M1156" s="5"/>
      <c r="N1156" s="5"/>
      <c r="O1156" s="5"/>
      <c r="P1156" s="5"/>
      <c r="Q1156" s="5"/>
      <c r="R1156" s="5"/>
      <c r="S1156" s="5"/>
      <c r="T1156" s="5"/>
      <c r="U1156" s="5"/>
      <c r="V1156" s="5"/>
      <c r="W1156" s="5"/>
      <c r="X1156" s="5"/>
      <c r="Y1156" s="5"/>
      <c r="Z1156" s="5"/>
    </row>
    <row r="1157" spans="1:26" ht="15.6" x14ac:dyDescent="0.3">
      <c r="A1157" s="19" t="s">
        <v>3</v>
      </c>
      <c r="B1157" s="26" t="s">
        <v>1162</v>
      </c>
      <c r="C1157" s="2" t="str">
        <f ca="1">IFERROR(__xludf.DUMMYFUNCTION("GOOGLETRANSLATE(B1157, ""bn"", ""en"")"),"The Pali lexical meaning of the word prabarana is invitation, calling, renunciation, cessation, abdication, rites, atonement and reparation, etc., relating to religious conduct and rules.")</f>
        <v>The Pali lexical meaning of the word prabarana is invitation, calling, renunciation, cessation, abdication, rites, atonement and reparation, etc., relating to religious conduct and rules.</v>
      </c>
      <c r="D1157" s="7"/>
      <c r="E1157" s="7"/>
      <c r="F1157" s="7"/>
      <c r="G1157" s="7"/>
      <c r="H1157" s="7"/>
      <c r="I1157" s="7"/>
      <c r="J1157" s="7"/>
      <c r="K1157" s="7"/>
      <c r="L1157" s="7"/>
      <c r="M1157" s="5"/>
      <c r="N1157" s="5"/>
      <c r="O1157" s="5"/>
      <c r="P1157" s="5"/>
      <c r="Q1157" s="5"/>
      <c r="R1157" s="5"/>
      <c r="S1157" s="5"/>
      <c r="T1157" s="5"/>
      <c r="U1157" s="5"/>
      <c r="V1157" s="5"/>
      <c r="W1157" s="5"/>
      <c r="X1157" s="5"/>
      <c r="Y1157" s="5"/>
      <c r="Z1157" s="5"/>
    </row>
    <row r="1158" spans="1:26" ht="15.6" x14ac:dyDescent="0.3">
      <c r="A1158" s="18" t="s">
        <v>5</v>
      </c>
      <c r="B1158" s="25" t="s">
        <v>1163</v>
      </c>
      <c r="C1158" s="2" t="str">
        <f ca="1">IFERROR(__xludf.DUMMYFUNCTION("GOOGLETRANSLATE(B1158, ""bn"", ""en"")"),"After the riots in Noakhali stopped, the Muslim League claimed that only 500 Hindus died in the conflict, but survivors believe that more than 50,000 Hindus were killed. Some claim that this almost destroyed the Hindu population in Noakhali.")</f>
        <v>After the riots in Noakhali stopped, the Muslim League claimed that only 500 Hindus died in the conflict, but survivors believe that more than 50,000 Hindus were killed. Some claim that this almost destroyed the Hindu population in Noakhali.</v>
      </c>
      <c r="D1158" s="5"/>
      <c r="E1158" s="5"/>
      <c r="F1158" s="5"/>
      <c r="G1158" s="5"/>
      <c r="H1158" s="5"/>
      <c r="I1158" s="5"/>
      <c r="J1158" s="5"/>
      <c r="K1158" s="5"/>
      <c r="L1158" s="5"/>
      <c r="M1158" s="5"/>
      <c r="N1158" s="5"/>
      <c r="O1158" s="5"/>
      <c r="P1158" s="5"/>
      <c r="Q1158" s="5"/>
      <c r="R1158" s="5"/>
      <c r="S1158" s="5"/>
      <c r="T1158" s="5"/>
      <c r="U1158" s="5"/>
      <c r="V1158" s="5"/>
      <c r="W1158" s="5"/>
      <c r="X1158" s="5"/>
      <c r="Y1158" s="5"/>
      <c r="Z1158" s="5"/>
    </row>
    <row r="1159" spans="1:26" ht="15.6" x14ac:dyDescent="0.3">
      <c r="A1159" s="18" t="s">
        <v>5</v>
      </c>
      <c r="B1159" s="25" t="s">
        <v>1164</v>
      </c>
      <c r="C1159" s="2" t="str">
        <f ca="1">IFERROR(__xludf.DUMMYFUNCTION("GOOGLETRANSLATE(B1159, ""bn"", ""en"")"),"Age can be determined by post mortem of dead people. Gender can be determined.")</f>
        <v>Age can be determined by post mortem of dead people. Gender can be determined.</v>
      </c>
      <c r="D1159" s="5"/>
      <c r="E1159" s="5"/>
      <c r="F1159" s="5"/>
      <c r="G1159" s="5"/>
      <c r="H1159" s="5"/>
      <c r="I1159" s="5"/>
      <c r="J1159" s="5"/>
      <c r="K1159" s="5"/>
      <c r="L1159" s="5"/>
      <c r="M1159" s="5"/>
      <c r="N1159" s="5"/>
      <c r="O1159" s="5"/>
      <c r="P1159" s="5"/>
      <c r="Q1159" s="5"/>
      <c r="R1159" s="5"/>
      <c r="S1159" s="5"/>
      <c r="T1159" s="5"/>
      <c r="U1159" s="5"/>
      <c r="V1159" s="5"/>
      <c r="W1159" s="5"/>
      <c r="X1159" s="5"/>
      <c r="Y1159" s="5"/>
      <c r="Z1159" s="5"/>
    </row>
    <row r="1160" spans="1:26" ht="15.6" x14ac:dyDescent="0.3">
      <c r="A1160" s="18" t="s">
        <v>5</v>
      </c>
      <c r="B1160" s="25" t="s">
        <v>1165</v>
      </c>
      <c r="C1160" s="2" t="str">
        <f ca="1">IFERROR(__xludf.DUMMYFUNCTION("GOOGLETRANSLATE(B1160, ""bn"", ""en"")"),"Bloody clashes between Christian militias (Anti-Balaka) and Muslim armed groups (Séléka) in the Mediterranean republic have left thousands dead.")</f>
        <v>Bloody clashes between Christian militias (Anti-Balaka) and Muslim armed groups (Séléka) in the Mediterranean republic have left thousands dead.</v>
      </c>
      <c r="D1160" s="2"/>
      <c r="E1160" s="2"/>
      <c r="F1160" s="2"/>
      <c r="G1160" s="2"/>
      <c r="H1160" s="5"/>
      <c r="I1160" s="5"/>
      <c r="J1160" s="5"/>
      <c r="K1160" s="5"/>
      <c r="L1160" s="5"/>
      <c r="M1160" s="5"/>
      <c r="N1160" s="5"/>
      <c r="O1160" s="5"/>
      <c r="P1160" s="5"/>
      <c r="Q1160" s="5"/>
      <c r="R1160" s="5"/>
      <c r="S1160" s="5"/>
      <c r="T1160" s="5"/>
      <c r="U1160" s="5"/>
      <c r="V1160" s="5"/>
      <c r="W1160" s="5"/>
      <c r="X1160" s="5"/>
      <c r="Y1160" s="5"/>
      <c r="Z1160" s="5"/>
    </row>
    <row r="1161" spans="1:26" ht="15.6" x14ac:dyDescent="0.3">
      <c r="A1161" s="18" t="s">
        <v>3</v>
      </c>
      <c r="B1161" s="25" t="s">
        <v>1166</v>
      </c>
      <c r="C1161" s="2" t="str">
        <f ca="1">IFERROR(__xludf.DUMMYFUNCTION("GOOGLETRANSLATE(B1161, ""bn"", ""en"")"),"Whether faith remains in the last breath or not - that will be the only question after death.")</f>
        <v>Whether faith remains in the last breath or not - that will be the only question after death.</v>
      </c>
      <c r="D1161" s="2"/>
      <c r="E1161" s="2"/>
      <c r="F1161" s="2"/>
      <c r="G1161" s="2"/>
      <c r="H1161" s="3"/>
      <c r="I1161" s="3"/>
      <c r="J1161" s="3"/>
      <c r="K1161" s="3"/>
      <c r="L1161" s="3"/>
      <c r="M1161" s="3"/>
      <c r="N1161" s="3"/>
      <c r="O1161" s="3"/>
      <c r="P1161" s="3"/>
      <c r="Q1161" s="3"/>
      <c r="R1161" s="3"/>
      <c r="S1161" s="3"/>
      <c r="T1161" s="3"/>
      <c r="U1161" s="3"/>
      <c r="V1161" s="3"/>
      <c r="W1161" s="3"/>
      <c r="X1161" s="3"/>
      <c r="Y1161" s="3"/>
      <c r="Z1161" s="3"/>
    </row>
    <row r="1162" spans="1:26" ht="15.6" x14ac:dyDescent="0.3">
      <c r="A1162" s="19" t="s">
        <v>5</v>
      </c>
      <c r="B1162" s="26" t="s">
        <v>1167</v>
      </c>
      <c r="C1162" s="2" t="str">
        <f ca="1">IFERROR(__xludf.DUMMYFUNCTION("GOOGLETRANSLATE(B1162, ""bn"", ""en"")"),"The Hindu-Muslim riots in Noakhali were in response to the deprivation of Muslims under British rule in Bangladesh and the killing of Muslims in Dhaka. There was a rumor that a Hindu landlord in Ramganj was sacrificing a Muslim child.")</f>
        <v>The Hindu-Muslim riots in Noakhali were in response to the deprivation of Muslims under British rule in Bangladesh and the killing of Muslims in Dhaka. There was a rumor that a Hindu landlord in Ramganj was sacrificing a Muslim child.</v>
      </c>
      <c r="D1162" s="7"/>
      <c r="E1162" s="7"/>
      <c r="F1162" s="7"/>
      <c r="G1162" s="7"/>
      <c r="H1162" s="7"/>
      <c r="I1162" s="7"/>
      <c r="J1162" s="7"/>
      <c r="K1162" s="7"/>
      <c r="L1162" s="7"/>
      <c r="M1162" s="7"/>
      <c r="N1162" s="7"/>
      <c r="O1162" s="5"/>
      <c r="P1162" s="5"/>
      <c r="Q1162" s="5"/>
      <c r="R1162" s="5"/>
      <c r="S1162" s="5"/>
      <c r="T1162" s="5"/>
      <c r="U1162" s="5"/>
      <c r="V1162" s="5"/>
      <c r="W1162" s="5"/>
      <c r="X1162" s="5"/>
      <c r="Y1162" s="5"/>
      <c r="Z1162" s="5"/>
    </row>
    <row r="1163" spans="1:26" ht="15.6" x14ac:dyDescent="0.3">
      <c r="A1163" s="19" t="s">
        <v>3</v>
      </c>
      <c r="B1163" s="26" t="s">
        <v>1168</v>
      </c>
      <c r="C1163" s="2" t="str">
        <f ca="1">IFERROR(__xludf.DUMMYFUNCTION("GOOGLETRANSLATE(B1163, ""bn"", ""en"")"),"The Prophet (pbuh) has enjoined the serious sin of committing suicide by not performing the Janazah of the person committing suicide, because suicide causes suffering in both this life and the hereafter.")</f>
        <v>The Prophet (pbuh) has enjoined the serious sin of committing suicide by not performing the Janazah of the person committing suicide, because suicide causes suffering in both this life and the hereafter.</v>
      </c>
      <c r="D1163" s="7"/>
      <c r="E1163" s="7"/>
      <c r="F1163" s="7"/>
      <c r="G1163" s="7"/>
      <c r="H1163" s="7"/>
      <c r="I1163" s="7"/>
      <c r="J1163" s="7"/>
      <c r="K1163" s="7"/>
      <c r="L1163" s="7"/>
      <c r="M1163" s="5"/>
      <c r="N1163" s="5"/>
      <c r="O1163" s="5"/>
      <c r="P1163" s="5"/>
      <c r="Q1163" s="5"/>
      <c r="R1163" s="5"/>
      <c r="S1163" s="5"/>
      <c r="T1163" s="5"/>
      <c r="U1163" s="5"/>
      <c r="V1163" s="5"/>
      <c r="W1163" s="5"/>
      <c r="X1163" s="5"/>
      <c r="Y1163" s="5"/>
      <c r="Z1163" s="5"/>
    </row>
    <row r="1164" spans="1:26" ht="15.6" x14ac:dyDescent="0.3">
      <c r="A1164" s="19" t="s">
        <v>3</v>
      </c>
      <c r="B1164" s="26" t="s">
        <v>1169</v>
      </c>
      <c r="C1164" s="2" t="str">
        <f ca="1">IFERROR(__xludf.DUMMYFUNCTION("GOOGLETRANSLATE(B1164, ""bn"", ""en"")"),"Prayer and veil are obligatory for Muslims. Posting a naked profile picture after death will be a sin.")</f>
        <v>Prayer and veil are obligatory for Muslims. Posting a naked profile picture after death will be a sin.</v>
      </c>
      <c r="D1164" s="7"/>
      <c r="E1164" s="7"/>
      <c r="F1164" s="7"/>
      <c r="G1164" s="5"/>
      <c r="H1164" s="5"/>
      <c r="I1164" s="5"/>
      <c r="J1164" s="5"/>
      <c r="K1164" s="5"/>
      <c r="L1164" s="5"/>
      <c r="M1164" s="5"/>
      <c r="N1164" s="5"/>
      <c r="O1164" s="5"/>
      <c r="P1164" s="5"/>
      <c r="Q1164" s="5"/>
      <c r="R1164" s="5"/>
      <c r="S1164" s="5"/>
      <c r="T1164" s="5"/>
      <c r="U1164" s="5"/>
      <c r="V1164" s="5"/>
      <c r="W1164" s="5"/>
      <c r="X1164" s="5"/>
      <c r="Y1164" s="5"/>
      <c r="Z1164" s="5"/>
    </row>
    <row r="1165" spans="1:26" ht="15.6" x14ac:dyDescent="0.3">
      <c r="A1165" s="18" t="s">
        <v>23</v>
      </c>
      <c r="B1165" s="25" t="s">
        <v>1170</v>
      </c>
      <c r="C1165" s="2" t="str">
        <f ca="1">IFERROR(__xludf.DUMMYFUNCTION("GOOGLETRANSLATE(B1165, ""bn"", ""en"")"),"If Muslims were not respectful to other religions, not even a Hindu child could live happily and peacefully in Bangladesh.")</f>
        <v>If Muslims were not respectful to other religions, not even a Hindu child could live happily and peacefully in Bangladesh.</v>
      </c>
      <c r="D1165" s="2"/>
      <c r="E1165" s="2"/>
      <c r="F1165" s="2"/>
      <c r="G1165" s="2"/>
      <c r="H1165" s="5"/>
      <c r="I1165" s="5"/>
      <c r="J1165" s="5"/>
      <c r="K1165" s="5"/>
      <c r="L1165" s="5"/>
      <c r="M1165" s="5"/>
      <c r="N1165" s="5"/>
      <c r="O1165" s="5"/>
      <c r="P1165" s="5"/>
      <c r="Q1165" s="5"/>
      <c r="R1165" s="5"/>
      <c r="S1165" s="5"/>
      <c r="T1165" s="5"/>
      <c r="U1165" s="5"/>
      <c r="V1165" s="5"/>
      <c r="W1165" s="5"/>
      <c r="X1165" s="5"/>
      <c r="Y1165" s="5"/>
      <c r="Z1165" s="5"/>
    </row>
    <row r="1166" spans="1:26" ht="15.6" x14ac:dyDescent="0.3">
      <c r="A1166" s="18" t="s">
        <v>23</v>
      </c>
      <c r="B1166" s="25" t="s">
        <v>1171</v>
      </c>
      <c r="C1166" s="2" t="str">
        <f ca="1">IFERROR(__xludf.DUMMYFUNCTION("GOOGLETRANSLATE(B1166, ""bn"", ""en"")"),"We should definitely remember that religion is not a business product. But we have foolishly made religion a commercial product and this thinking is just stupid.")</f>
        <v>We should definitely remember that religion is not a business product. But we have foolishly made religion a commercial product and this thinking is just stupid.</v>
      </c>
      <c r="D1166" s="5"/>
      <c r="E1166" s="5"/>
      <c r="F1166" s="5"/>
      <c r="G1166" s="5"/>
      <c r="H1166" s="5"/>
      <c r="I1166" s="5"/>
      <c r="J1166" s="5"/>
      <c r="K1166" s="5"/>
      <c r="L1166" s="5"/>
      <c r="M1166" s="5"/>
      <c r="N1166" s="5"/>
      <c r="O1166" s="5"/>
      <c r="P1166" s="5"/>
      <c r="Q1166" s="5"/>
      <c r="R1166" s="5"/>
      <c r="S1166" s="5"/>
      <c r="T1166" s="5"/>
      <c r="U1166" s="5"/>
      <c r="V1166" s="5"/>
      <c r="W1166" s="5"/>
      <c r="X1166" s="5"/>
      <c r="Y1166" s="5"/>
      <c r="Z1166" s="5"/>
    </row>
    <row r="1167" spans="1:26" ht="15.6" x14ac:dyDescent="0.3">
      <c r="A1167" s="19" t="s">
        <v>3</v>
      </c>
      <c r="B1167" s="26" t="s">
        <v>1172</v>
      </c>
      <c r="C1167" s="2" t="str">
        <f ca="1">IFERROR(__xludf.DUMMYFUNCTION("GOOGLETRANSLATE(B1167, ""bn"", ""en"")"),"Although it is now a Muslim country, Buddhists are no small players in the nation's history and culture. Most of the followers of Buddhism in Bangladesh live in Chittagong Division.")</f>
        <v>Although it is now a Muslim country, Buddhists are no small players in the nation's history and culture. Most of the followers of Buddhism in Bangladesh live in Chittagong Division.</v>
      </c>
      <c r="D1167" s="5"/>
      <c r="E1167" s="5"/>
      <c r="F1167" s="5"/>
      <c r="G1167" s="5"/>
      <c r="H1167" s="5"/>
      <c r="I1167" s="5"/>
      <c r="J1167" s="5"/>
      <c r="K1167" s="5"/>
      <c r="L1167" s="5"/>
      <c r="M1167" s="5"/>
      <c r="N1167" s="5"/>
      <c r="O1167" s="5"/>
      <c r="P1167" s="5"/>
      <c r="Q1167" s="5"/>
      <c r="R1167" s="5"/>
      <c r="S1167" s="5"/>
      <c r="T1167" s="5"/>
      <c r="U1167" s="5"/>
      <c r="V1167" s="5"/>
      <c r="W1167" s="5"/>
      <c r="X1167" s="5"/>
      <c r="Y1167" s="5"/>
      <c r="Z1167" s="5"/>
    </row>
    <row r="1168" spans="1:26" ht="15.6" x14ac:dyDescent="0.3">
      <c r="A1168" s="18" t="s">
        <v>8</v>
      </c>
      <c r="B1168" s="25" t="s">
        <v>1173</v>
      </c>
      <c r="C1168" s="2" t="str">
        <f ca="1">IFERROR(__xludf.DUMMYFUNCTION("GOOGLETRANSLATE(B1168, ""bn"", ""en"")"),"The Kirtan that attacked next to my house! Then no one opened his mouth? Why not open your mouth?")</f>
        <v>The Kirtan that attacked next to my house! Then no one opened his mouth? Why not open your mouth?</v>
      </c>
      <c r="D1168" s="5"/>
      <c r="E1168" s="5"/>
      <c r="F1168" s="5"/>
      <c r="G1168" s="5"/>
      <c r="H1168" s="5"/>
      <c r="I1168" s="5"/>
      <c r="J1168" s="5"/>
      <c r="K1168" s="5"/>
      <c r="L1168" s="5"/>
      <c r="M1168" s="5"/>
      <c r="N1168" s="5"/>
      <c r="O1168" s="5"/>
      <c r="P1168" s="5"/>
      <c r="Q1168" s="5"/>
      <c r="R1168" s="5"/>
      <c r="S1168" s="5"/>
      <c r="T1168" s="5"/>
      <c r="U1168" s="5"/>
      <c r="V1168" s="5"/>
      <c r="W1168" s="5"/>
      <c r="X1168" s="5"/>
      <c r="Y1168" s="5"/>
      <c r="Z1168" s="5"/>
    </row>
    <row r="1169" spans="1:26" ht="15.6" x14ac:dyDescent="0.3">
      <c r="A1169" s="19" t="s">
        <v>23</v>
      </c>
      <c r="B1169" s="26" t="s">
        <v>1174</v>
      </c>
      <c r="C1169" s="2" t="str">
        <f ca="1">IFERROR(__xludf.DUMMYFUNCTION("GOOGLETRANSLATE(B1169, ""bn"", ""en"")"),"Bloody Bangladesh” – O Allah, forgive us and send a Salahuddin to protect and lead the Muslims of Bangladesh. Ameen.")</f>
        <v>Bloody Bangladesh” – O Allah, forgive us and send a Salahuddin to protect and lead the Muslims of Bangladesh. Ameen.</v>
      </c>
      <c r="D1169" s="7"/>
      <c r="E1169" s="7"/>
      <c r="F1169" s="7"/>
      <c r="G1169" s="7"/>
      <c r="H1169" s="7"/>
      <c r="I1169" s="7"/>
      <c r="J1169" s="7"/>
      <c r="K1169" s="5"/>
      <c r="L1169" s="5"/>
      <c r="M1169" s="5"/>
      <c r="N1169" s="5"/>
      <c r="O1169" s="5"/>
      <c r="P1169" s="5"/>
      <c r="Q1169" s="5"/>
      <c r="R1169" s="5"/>
      <c r="S1169" s="5"/>
      <c r="T1169" s="5"/>
      <c r="U1169" s="5"/>
      <c r="V1169" s="5"/>
      <c r="W1169" s="5"/>
      <c r="X1169" s="5"/>
      <c r="Y1169" s="5"/>
      <c r="Z1169" s="5"/>
    </row>
    <row r="1170" spans="1:26" ht="15.6" x14ac:dyDescent="0.3">
      <c r="A1170" s="18" t="s">
        <v>5</v>
      </c>
      <c r="B1170" s="24" t="s">
        <v>1175</v>
      </c>
      <c r="C1170" s="2" t="str">
        <f ca="1">IFERROR(__xludf.DUMMYFUNCTION("GOOGLETRANSLATE(B1170, ""bn"", ""en"")"),"A Muslim couple is killed by a train because of their religious identity, their infant child freezes to death. Total killed: 2 people.")</f>
        <v>A Muslim couple is killed by a train because of their religious identity, their infant child freezes to death. Total killed: 2 people.</v>
      </c>
      <c r="D1170" s="5"/>
      <c r="E1170" s="5"/>
      <c r="F1170" s="5"/>
      <c r="G1170" s="5"/>
      <c r="H1170" s="5"/>
      <c r="I1170" s="5"/>
      <c r="J1170" s="5"/>
      <c r="K1170" s="5"/>
      <c r="L1170" s="5"/>
      <c r="M1170" s="5"/>
      <c r="N1170" s="5"/>
      <c r="O1170" s="5"/>
      <c r="P1170" s="5"/>
      <c r="Q1170" s="5"/>
      <c r="R1170" s="5"/>
      <c r="S1170" s="5"/>
      <c r="T1170" s="5"/>
      <c r="U1170" s="5"/>
      <c r="V1170" s="5"/>
      <c r="W1170" s="5"/>
      <c r="X1170" s="5"/>
      <c r="Y1170" s="5"/>
      <c r="Z1170" s="5"/>
    </row>
    <row r="1171" spans="1:26" ht="15.6" x14ac:dyDescent="0.3">
      <c r="A1171" s="18" t="s">
        <v>8</v>
      </c>
      <c r="B1171" s="25" t="s">
        <v>1176</v>
      </c>
      <c r="C1171" s="2" t="str">
        <f ca="1">IFERROR(__xludf.DUMMYFUNCTION("GOOGLETRANSLATE(B1171, ""bn"", ""en"")"),"Some atheists carried out this attack with the name of Muslims, for which no one from Hinduism was ever responsible.")</f>
        <v>Some atheists carried out this attack with the name of Muslims, for which no one from Hinduism was ever responsible.</v>
      </c>
      <c r="D1171" s="2"/>
      <c r="E1171" s="2"/>
      <c r="F1171" s="2"/>
      <c r="G1171" s="2"/>
      <c r="H1171" s="5"/>
      <c r="I1171" s="5"/>
      <c r="J1171" s="5"/>
      <c r="K1171" s="5"/>
      <c r="L1171" s="5"/>
      <c r="M1171" s="5"/>
      <c r="N1171" s="5"/>
      <c r="O1171" s="5"/>
      <c r="P1171" s="5"/>
      <c r="Q1171" s="5"/>
      <c r="R1171" s="5"/>
      <c r="S1171" s="5"/>
      <c r="T1171" s="5"/>
      <c r="U1171" s="5"/>
      <c r="V1171" s="5"/>
      <c r="W1171" s="5"/>
      <c r="X1171" s="5"/>
      <c r="Y1171" s="5"/>
      <c r="Z1171" s="5"/>
    </row>
    <row r="1172" spans="1:26" ht="15.6" x14ac:dyDescent="0.3">
      <c r="A1172" s="18" t="s">
        <v>23</v>
      </c>
      <c r="B1172" s="25" t="s">
        <v>1177</v>
      </c>
      <c r="C1172" s="2" t="str">
        <f ca="1">IFERROR(__xludf.DUMMYFUNCTION("GOOGLETRANSLATE(B1172, ""bn"", ""en"")"),"At the end of the fast, a strange scene can be seen in the Qoumi Madrasahs of Bangladesh.")</f>
        <v>At the end of the fast, a strange scene can be seen in the Qoumi Madrasahs of Bangladesh.</v>
      </c>
      <c r="D1172" s="2"/>
      <c r="E1172" s="2"/>
      <c r="F1172" s="2"/>
      <c r="G1172" s="2"/>
      <c r="H1172" s="5"/>
      <c r="I1172" s="5"/>
      <c r="J1172" s="5"/>
      <c r="K1172" s="5"/>
      <c r="L1172" s="5"/>
      <c r="M1172" s="5"/>
      <c r="N1172" s="5"/>
      <c r="O1172" s="5"/>
      <c r="P1172" s="5"/>
      <c r="Q1172" s="5"/>
      <c r="R1172" s="5"/>
      <c r="S1172" s="5"/>
      <c r="T1172" s="5"/>
      <c r="U1172" s="5"/>
      <c r="V1172" s="5"/>
      <c r="W1172" s="5"/>
      <c r="X1172" s="5"/>
      <c r="Y1172" s="5"/>
      <c r="Z1172" s="5"/>
    </row>
    <row r="1173" spans="1:26" ht="15.6" x14ac:dyDescent="0.3">
      <c r="A1173" s="18" t="s">
        <v>3</v>
      </c>
      <c r="B1173" s="25" t="s">
        <v>1178</v>
      </c>
      <c r="C1173" s="2" t="str">
        <f ca="1">IFERROR(__xludf.DUMMYFUNCTION("GOOGLETRANSLATE(B1173, ""bn"", ""en"")"),"As religion seeks truth and justice, it inculcates the idea of ​​tolerance and sincerity in people, where there is no intention to create any kind of conflict or enmity.")</f>
        <v>As religion seeks truth and justice, it inculcates the idea of ​​tolerance and sincerity in people, where there is no intention to create any kind of conflict or enmity.</v>
      </c>
      <c r="D1173" s="2"/>
      <c r="E1173" s="2"/>
      <c r="F1173" s="2"/>
      <c r="G1173" s="2"/>
      <c r="H1173" s="5"/>
      <c r="I1173" s="5"/>
      <c r="J1173" s="5"/>
      <c r="K1173" s="5"/>
      <c r="L1173" s="5"/>
      <c r="M1173" s="5"/>
      <c r="N1173" s="5"/>
      <c r="O1173" s="5"/>
      <c r="P1173" s="5"/>
      <c r="Q1173" s="5"/>
      <c r="R1173" s="5"/>
      <c r="S1173" s="5"/>
      <c r="T1173" s="5"/>
      <c r="U1173" s="5"/>
      <c r="V1173" s="5"/>
      <c r="W1173" s="5"/>
      <c r="X1173" s="5"/>
      <c r="Y1173" s="5"/>
      <c r="Z1173" s="5"/>
    </row>
    <row r="1174" spans="1:26" ht="15.6" x14ac:dyDescent="0.3">
      <c r="A1174" s="19" t="s">
        <v>3</v>
      </c>
      <c r="B1174" s="26" t="s">
        <v>1179</v>
      </c>
      <c r="C1174" s="2" t="str">
        <f ca="1">IFERROR(__xludf.DUMMYFUNCTION("GOOGLETRANSLATE(B1174, ""bn"", ""en"")"),"A group does politics on religion, but we are not religion traders, Awami League does not do politics on religion. Religion is to everyone's country.")</f>
        <v>A group does politics on religion, but we are not religion traders, Awami League does not do politics on religion. Religion is to everyone's country.</v>
      </c>
      <c r="D1174" s="7"/>
      <c r="E1174" s="7"/>
      <c r="F1174" s="7"/>
      <c r="G1174" s="7"/>
      <c r="H1174" s="7"/>
      <c r="I1174" s="7"/>
      <c r="J1174" s="7"/>
      <c r="K1174" s="7"/>
      <c r="L1174" s="5"/>
      <c r="M1174" s="5"/>
      <c r="N1174" s="5"/>
      <c r="O1174" s="5"/>
      <c r="P1174" s="5"/>
      <c r="Q1174" s="5"/>
      <c r="R1174" s="5"/>
      <c r="S1174" s="5"/>
      <c r="T1174" s="5"/>
      <c r="U1174" s="5"/>
      <c r="V1174" s="5"/>
      <c r="W1174" s="5"/>
      <c r="X1174" s="5"/>
      <c r="Y1174" s="5"/>
      <c r="Z1174" s="5"/>
    </row>
    <row r="1175" spans="1:26" ht="15.6" x14ac:dyDescent="0.3">
      <c r="A1175" s="18" t="s">
        <v>23</v>
      </c>
      <c r="B1175" s="25" t="s">
        <v>1180</v>
      </c>
      <c r="C1175" s="2" t="str">
        <f ca="1">IFERROR(__xludf.DUMMYFUNCTION("GOOGLETRANSLATE(B1175, ""bn"", ""en"")"),"Why laxity when insulting other religions? Is it the law of an independent state?")</f>
        <v>Why laxity when insulting other religions? Is it the law of an independent state?</v>
      </c>
      <c r="D1175" s="5"/>
      <c r="E1175" s="5"/>
      <c r="F1175" s="5"/>
      <c r="G1175" s="5"/>
      <c r="H1175" s="5"/>
      <c r="I1175" s="5"/>
      <c r="J1175" s="5"/>
      <c r="K1175" s="5"/>
      <c r="L1175" s="5"/>
      <c r="M1175" s="5"/>
      <c r="N1175" s="5"/>
      <c r="O1175" s="5"/>
      <c r="P1175" s="5"/>
      <c r="Q1175" s="5"/>
      <c r="R1175" s="5"/>
      <c r="S1175" s="5"/>
      <c r="T1175" s="5"/>
      <c r="U1175" s="5"/>
      <c r="V1175" s="5"/>
      <c r="W1175" s="5"/>
      <c r="X1175" s="5"/>
      <c r="Y1175" s="5"/>
      <c r="Z1175" s="5"/>
    </row>
    <row r="1176" spans="1:26" ht="15.6" x14ac:dyDescent="0.3">
      <c r="A1176" s="18" t="s">
        <v>3</v>
      </c>
      <c r="B1176" s="25" t="s">
        <v>1181</v>
      </c>
      <c r="C1176" s="2" t="str">
        <f ca="1">IFERROR(__xludf.DUMMYFUNCTION("GOOGLETRANSLATE(B1176, ""bn"", ""en"")"),"Hinduism worships many gods and goddesses, but all have messages of peace and love.")</f>
        <v>Hinduism worships many gods and goddesses, but all have messages of peace and love.</v>
      </c>
      <c r="D1176" s="5"/>
      <c r="E1176" s="5"/>
      <c r="F1176" s="5"/>
      <c r="G1176" s="5"/>
      <c r="H1176" s="5"/>
      <c r="I1176" s="5"/>
      <c r="J1176" s="5"/>
      <c r="K1176" s="5"/>
      <c r="L1176" s="5"/>
      <c r="M1176" s="5"/>
      <c r="N1176" s="5"/>
      <c r="O1176" s="5"/>
      <c r="P1176" s="5"/>
      <c r="Q1176" s="5"/>
      <c r="R1176" s="5"/>
      <c r="S1176" s="5"/>
      <c r="T1176" s="5"/>
      <c r="U1176" s="5"/>
      <c r="V1176" s="5"/>
      <c r="W1176" s="5"/>
      <c r="X1176" s="5"/>
      <c r="Y1176" s="5"/>
      <c r="Z1176" s="5"/>
    </row>
    <row r="1177" spans="1:26" ht="15.6" x14ac:dyDescent="0.3">
      <c r="A1177" s="18" t="s">
        <v>5</v>
      </c>
      <c r="B1177" s="25" t="s">
        <v>1182</v>
      </c>
      <c r="C1177" s="2" t="str">
        <f ca="1">IFERROR(__xludf.DUMMYFUNCTION("GOOGLETRANSLATE(B1177, ""bn"", ""en"")"),"Not being able to bear the insult of the Prophet! Killing the enemy of the Prophet and being martyred on the ropes! Who was Ilmuddin?")</f>
        <v>Not being able to bear the insult of the Prophet! Killing the enemy of the Prophet and being martyred on the ropes! Who was Ilmuddin?</v>
      </c>
      <c r="D1177" s="5"/>
      <c r="E1177" s="5"/>
      <c r="F1177" s="5"/>
      <c r="G1177" s="5"/>
      <c r="H1177" s="5"/>
      <c r="I1177" s="5"/>
      <c r="J1177" s="5"/>
      <c r="K1177" s="5"/>
      <c r="L1177" s="5"/>
      <c r="M1177" s="5"/>
      <c r="N1177" s="5"/>
      <c r="O1177" s="5"/>
      <c r="P1177" s="5"/>
      <c r="Q1177" s="5"/>
      <c r="R1177" s="5"/>
      <c r="S1177" s="5"/>
      <c r="T1177" s="5"/>
      <c r="U1177" s="5"/>
      <c r="V1177" s="5"/>
      <c r="W1177" s="5"/>
      <c r="X1177" s="5"/>
      <c r="Y1177" s="5"/>
      <c r="Z1177" s="5"/>
    </row>
    <row r="1178" spans="1:26" ht="15.6" x14ac:dyDescent="0.3">
      <c r="A1178" s="18" t="s">
        <v>5</v>
      </c>
      <c r="B1178" s="24" t="s">
        <v>1183</v>
      </c>
      <c r="C1178" s="2" t="str">
        <f ca="1">IFERROR(__xludf.DUMMYFUNCTION("GOOGLETRANSLATE(B1178, ""bn"", ""en"")"),"43 people were killed in religious clashes in Jamalpur. Police tried to quell the violence but the situation went out of control. Many families fled.")</f>
        <v>43 people were killed in religious clashes in Jamalpur. Police tried to quell the violence but the situation went out of control. Many families fled.</v>
      </c>
      <c r="D1178" s="5"/>
      <c r="E1178" s="5"/>
      <c r="F1178" s="5"/>
      <c r="G1178" s="5"/>
      <c r="H1178" s="5"/>
      <c r="I1178" s="5"/>
      <c r="J1178" s="5"/>
      <c r="K1178" s="5"/>
      <c r="L1178" s="5"/>
      <c r="M1178" s="5"/>
      <c r="N1178" s="5"/>
      <c r="O1178" s="5"/>
      <c r="P1178" s="5"/>
      <c r="Q1178" s="5"/>
      <c r="R1178" s="5"/>
      <c r="S1178" s="5"/>
      <c r="T1178" s="5"/>
      <c r="U1178" s="5"/>
      <c r="V1178" s="5"/>
      <c r="W1178" s="5"/>
      <c r="X1178" s="5"/>
      <c r="Y1178" s="5"/>
      <c r="Z1178" s="5"/>
    </row>
    <row r="1179" spans="1:26" ht="15.6" x14ac:dyDescent="0.3">
      <c r="A1179" s="18" t="s">
        <v>3</v>
      </c>
      <c r="B1179" s="25" t="s">
        <v>1184</v>
      </c>
      <c r="C1179" s="2" t="str">
        <f ca="1">IFERROR(__xludf.DUMMYFUNCTION("GOOGLETRANSLATE(B1179, ""bn"", ""en"")"),"Love all religions. If you respect other religions, your own religion is not diminished or insulted.")</f>
        <v>Love all religions. If you respect other religions, your own religion is not diminished or insulted.</v>
      </c>
      <c r="D1179" s="2"/>
      <c r="E1179" s="2"/>
      <c r="F1179" s="2"/>
      <c r="G1179" s="2"/>
      <c r="H1179" s="5"/>
      <c r="I1179" s="5"/>
      <c r="J1179" s="5"/>
      <c r="K1179" s="5"/>
      <c r="L1179" s="5"/>
      <c r="M1179" s="5"/>
      <c r="N1179" s="5"/>
      <c r="O1179" s="5"/>
      <c r="P1179" s="5"/>
      <c r="Q1179" s="5"/>
      <c r="R1179" s="5"/>
      <c r="S1179" s="5"/>
      <c r="T1179" s="5"/>
      <c r="U1179" s="5"/>
      <c r="V1179" s="5"/>
      <c r="W1179" s="5"/>
      <c r="X1179" s="5"/>
      <c r="Y1179" s="5"/>
      <c r="Z1179" s="5"/>
    </row>
    <row r="1180" spans="1:26" ht="15.6" x14ac:dyDescent="0.3">
      <c r="A1180" s="19" t="s">
        <v>3</v>
      </c>
      <c r="B1180" s="26" t="s">
        <v>1185</v>
      </c>
      <c r="C1180" s="2" t="str">
        <f ca="1">IFERROR(__xludf.DUMMYFUNCTION("GOOGLETRANSLATE(B1180, ""bn"", ""en"")"),"There is no initiative of any Muslim leader to organize Quran recitation and mahfil every year in all educational institutions of Bangladesh?")</f>
        <v>There is no initiative of any Muslim leader to organize Quran recitation and mahfil every year in all educational institutions of Bangladesh?</v>
      </c>
      <c r="D1180" s="7"/>
      <c r="E1180" s="7"/>
      <c r="F1180" s="7"/>
      <c r="G1180" s="7"/>
      <c r="H1180" s="7"/>
      <c r="I1180" s="7"/>
      <c r="J1180" s="5"/>
      <c r="K1180" s="5"/>
      <c r="L1180" s="5"/>
      <c r="M1180" s="5"/>
      <c r="N1180" s="5"/>
      <c r="O1180" s="5"/>
      <c r="P1180" s="5"/>
      <c r="Q1180" s="5"/>
      <c r="R1180" s="5"/>
      <c r="S1180" s="5"/>
      <c r="T1180" s="5"/>
      <c r="U1180" s="5"/>
      <c r="V1180" s="5"/>
      <c r="W1180" s="5"/>
      <c r="X1180" s="5"/>
      <c r="Y1180" s="5"/>
      <c r="Z1180" s="5"/>
    </row>
    <row r="1181" spans="1:26" ht="15.6" x14ac:dyDescent="0.3">
      <c r="A1181" s="18" t="s">
        <v>23</v>
      </c>
      <c r="B1181" s="25" t="s">
        <v>1186</v>
      </c>
      <c r="C1181" s="2" t="str">
        <f ca="1">IFERROR(__xludf.DUMMYFUNCTION("GOOGLETRANSLATE(B1181, ""bn"", ""en"")"),"Malik Aslam, a senior leader of Jamaat-e-Islami Hind, an Islamic organization, said that when someone criticizes and denigrates Islam, every Muslim needs to be united. At the same time, it is necessary to maintain peace in such a critical moment.")</f>
        <v>Malik Aslam, a senior leader of Jamaat-e-Islami Hind, an Islamic organization, said that when someone criticizes and denigrates Islam, every Muslim needs to be united. At the same time, it is necessary to maintain peace in such a critical moment.</v>
      </c>
      <c r="D1181" s="5"/>
      <c r="E1181" s="5"/>
      <c r="F1181" s="5"/>
      <c r="G1181" s="5"/>
      <c r="H1181" s="5"/>
      <c r="I1181" s="5"/>
      <c r="J1181" s="5"/>
      <c r="K1181" s="5"/>
      <c r="L1181" s="5"/>
      <c r="M1181" s="5"/>
      <c r="N1181" s="5"/>
      <c r="O1181" s="5"/>
      <c r="P1181" s="5"/>
      <c r="Q1181" s="5"/>
      <c r="R1181" s="5"/>
      <c r="S1181" s="5"/>
      <c r="T1181" s="5"/>
      <c r="U1181" s="5"/>
      <c r="V1181" s="5"/>
      <c r="W1181" s="5"/>
      <c r="X1181" s="5"/>
      <c r="Y1181" s="5"/>
      <c r="Z1181" s="5"/>
    </row>
    <row r="1182" spans="1:26" ht="15.6" x14ac:dyDescent="0.3">
      <c r="A1182" s="19" t="s">
        <v>23</v>
      </c>
      <c r="B1182" s="26" t="s">
        <v>1187</v>
      </c>
      <c r="C1182" s="2" t="str">
        <f ca="1">IFERROR(__xludf.DUMMYFUNCTION("GOOGLETRANSLATE(B1182, ""bn"", ""en"")"),"""This is a brand new addition to the politics of West Bengal. Direct and aggressive religious politics have never been seen before. But its root is hidden in vote bank politics. Muslims are one vote bank, Hindus are another vote bank.")</f>
        <v>"This is a brand new addition to the politics of West Bengal. Direct and aggressive religious politics have never been seen before. But its root is hidden in vote bank politics. Muslims are one vote bank, Hindus are another vote bank.</v>
      </c>
      <c r="D1182" s="5"/>
      <c r="E1182" s="5"/>
      <c r="F1182" s="5"/>
      <c r="G1182" s="5"/>
      <c r="H1182" s="5"/>
      <c r="I1182" s="5"/>
      <c r="J1182" s="5"/>
      <c r="K1182" s="5"/>
      <c r="L1182" s="5"/>
      <c r="M1182" s="5"/>
      <c r="N1182" s="5"/>
      <c r="O1182" s="5"/>
      <c r="P1182" s="5"/>
      <c r="Q1182" s="5"/>
      <c r="R1182" s="5"/>
      <c r="S1182" s="5"/>
      <c r="T1182" s="5"/>
      <c r="U1182" s="5"/>
      <c r="V1182" s="5"/>
      <c r="W1182" s="5"/>
      <c r="X1182" s="5"/>
      <c r="Y1182" s="5"/>
      <c r="Z1182" s="5"/>
    </row>
    <row r="1183" spans="1:26" ht="15.6" x14ac:dyDescent="0.3">
      <c r="A1183" s="19" t="s">
        <v>5</v>
      </c>
      <c r="B1183" s="26" t="s">
        <v>1188</v>
      </c>
      <c r="C1183" s="2" t="str">
        <f ca="1">IFERROR(__xludf.DUMMYFUNCTION("GOOGLETRANSLATE(B1183, ""bn"", ""en"")"),"Hindu homes were looted and destroyed, villagers were assaulted and killed, and some girls were raped by the police. Later Hindus of Bhandaria village in Barisal were also affected.")</f>
        <v>Hindu homes were looted and destroyed, villagers were assaulted and killed, and some girls were raped by the police. Later Hindus of Bhandaria village in Barisal were also affected.</v>
      </c>
      <c r="D1183" s="7"/>
      <c r="E1183" s="7"/>
      <c r="F1183" s="7"/>
      <c r="G1183" s="7"/>
      <c r="H1183" s="7"/>
      <c r="I1183" s="7"/>
      <c r="J1183" s="7"/>
      <c r="K1183" s="7"/>
      <c r="L1183" s="7"/>
      <c r="M1183" s="5"/>
      <c r="N1183" s="5"/>
      <c r="O1183" s="5"/>
      <c r="P1183" s="5"/>
      <c r="Q1183" s="5"/>
      <c r="R1183" s="5"/>
      <c r="S1183" s="5"/>
      <c r="T1183" s="5"/>
      <c r="U1183" s="5"/>
      <c r="V1183" s="5"/>
      <c r="W1183" s="5"/>
      <c r="X1183" s="5"/>
      <c r="Y1183" s="5"/>
      <c r="Z1183" s="5"/>
    </row>
    <row r="1184" spans="1:26" ht="15.6" x14ac:dyDescent="0.3">
      <c r="A1184" s="18" t="s">
        <v>23</v>
      </c>
      <c r="B1184" s="25" t="s">
        <v>1189</v>
      </c>
      <c r="C1184" s="2" t="str">
        <f ca="1">IFERROR(__xludf.DUMMYFUNCTION("GOOGLETRANSLATE(B1184, ""bn"", ""en"")"),"Lacking the experience of mixing in a cross-cultural environment, young people are confused by seeing digital multicultural Islamic life only on the Internet. Our common people do not understand the language of fundamentalist religious, moderate religious"&amp;", communist religious, or feminist religious views and ideals.")</f>
        <v>Lacking the experience of mixing in a cross-cultural environment, young people are confused by seeing digital multicultural Islamic life only on the Internet. Our common people do not understand the language of fundamentalist religious, moderate religious, communist religious, or feminist religious views and ideals.</v>
      </c>
      <c r="D1184" s="5"/>
      <c r="E1184" s="5"/>
      <c r="F1184" s="5"/>
      <c r="G1184" s="5"/>
      <c r="H1184" s="5"/>
      <c r="I1184" s="5"/>
      <c r="J1184" s="5"/>
      <c r="K1184" s="5"/>
      <c r="L1184" s="5"/>
      <c r="M1184" s="5"/>
      <c r="N1184" s="5"/>
      <c r="O1184" s="5"/>
      <c r="P1184" s="5"/>
      <c r="Q1184" s="5"/>
      <c r="R1184" s="5"/>
      <c r="S1184" s="5"/>
      <c r="T1184" s="5"/>
      <c r="U1184" s="5"/>
      <c r="V1184" s="5"/>
      <c r="W1184" s="5"/>
      <c r="X1184" s="5"/>
      <c r="Y1184" s="5"/>
      <c r="Z1184" s="5"/>
    </row>
    <row r="1185" spans="1:26" ht="15.6" x14ac:dyDescent="0.3">
      <c r="A1185" s="18" t="s">
        <v>23</v>
      </c>
      <c r="B1185" s="24" t="s">
        <v>1190</v>
      </c>
      <c r="C1185" s="2" t="str">
        <f ca="1">IFERROR(__xludf.DUMMYFUNCTION("GOOGLETRANSLATE(B1185, ""bn"", ""en"")"),"Some extremists in the Hindu community spread religious extremism and create hatred towards other religions.")</f>
        <v>Some extremists in the Hindu community spread religious extremism and create hatred towards other religions.</v>
      </c>
      <c r="D1185" s="5"/>
      <c r="E1185" s="5"/>
      <c r="F1185" s="5"/>
      <c r="G1185" s="5"/>
      <c r="H1185" s="5"/>
      <c r="I1185" s="5"/>
      <c r="J1185" s="5"/>
      <c r="K1185" s="5"/>
      <c r="L1185" s="5"/>
      <c r="M1185" s="5"/>
      <c r="N1185" s="5"/>
      <c r="O1185" s="5"/>
      <c r="P1185" s="5"/>
      <c r="Q1185" s="5"/>
      <c r="R1185" s="5"/>
      <c r="S1185" s="5"/>
      <c r="T1185" s="5"/>
      <c r="U1185" s="5"/>
      <c r="V1185" s="5"/>
      <c r="W1185" s="5"/>
      <c r="X1185" s="5"/>
      <c r="Y1185" s="5"/>
      <c r="Z1185" s="5"/>
    </row>
    <row r="1186" spans="1:26" ht="15.6" x14ac:dyDescent="0.3">
      <c r="A1186" s="18" t="s">
        <v>5</v>
      </c>
      <c r="B1186" s="24" t="s">
        <v>1191</v>
      </c>
      <c r="C1186" s="2" t="str">
        <f ca="1">IFERROR(__xludf.DUMMYFUNCTION("GOOGLETRANSLATE(B1186, ""bn"", ""en"")"),"In March 2020, an artist was publicly beaten for allegedly hurting religious sentiments of a group; 19 people were killed in the clash.")</f>
        <v>In March 2020, an artist was publicly beaten for allegedly hurting religious sentiments of a group; 19 people were killed in the clash.</v>
      </c>
      <c r="D1186" s="5"/>
      <c r="E1186" s="5"/>
      <c r="F1186" s="5"/>
      <c r="G1186" s="5"/>
      <c r="H1186" s="5"/>
      <c r="I1186" s="5"/>
      <c r="J1186" s="5"/>
      <c r="K1186" s="5"/>
      <c r="L1186" s="5"/>
      <c r="M1186" s="5"/>
      <c r="N1186" s="5"/>
      <c r="O1186" s="5"/>
      <c r="P1186" s="5"/>
      <c r="Q1186" s="5"/>
      <c r="R1186" s="5"/>
      <c r="S1186" s="5"/>
      <c r="T1186" s="5"/>
      <c r="U1186" s="5"/>
      <c r="V1186" s="5"/>
      <c r="W1186" s="5"/>
      <c r="X1186" s="5"/>
      <c r="Y1186" s="5"/>
      <c r="Z1186" s="5"/>
    </row>
    <row r="1187" spans="1:26" ht="15.6" x14ac:dyDescent="0.3">
      <c r="A1187" s="18" t="s">
        <v>23</v>
      </c>
      <c r="B1187" s="24" t="s">
        <v>1192</v>
      </c>
      <c r="C1187" s="2" t="str">
        <f ca="1">IFERROR(__xludf.DUMMYFUNCTION("GOOGLETRANSLATE(B1187, ""bn"", ""en"")"),"Extremist groups in the Muslim community are spreading religious extremism and creating hatred against other religions.")</f>
        <v>Extremist groups in the Muslim community are spreading religious extremism and creating hatred against other religions.</v>
      </c>
      <c r="D1187" s="5"/>
      <c r="E1187" s="5"/>
      <c r="F1187" s="5"/>
      <c r="G1187" s="5"/>
      <c r="H1187" s="5"/>
      <c r="I1187" s="5"/>
      <c r="J1187" s="5"/>
      <c r="K1187" s="5"/>
      <c r="L1187" s="5"/>
      <c r="M1187" s="5"/>
      <c r="N1187" s="5"/>
      <c r="O1187" s="5"/>
      <c r="P1187" s="5"/>
      <c r="Q1187" s="5"/>
      <c r="R1187" s="5"/>
      <c r="S1187" s="5"/>
      <c r="T1187" s="5"/>
      <c r="U1187" s="5"/>
      <c r="V1187" s="5"/>
      <c r="W1187" s="5"/>
      <c r="X1187" s="5"/>
      <c r="Y1187" s="5"/>
      <c r="Z1187" s="5"/>
    </row>
    <row r="1188" spans="1:26" ht="15.6" x14ac:dyDescent="0.3">
      <c r="A1188" s="19" t="s">
        <v>23</v>
      </c>
      <c r="B1188" s="26" t="s">
        <v>1193</v>
      </c>
      <c r="C1188" s="2" t="str">
        <f ca="1">IFERROR(__xludf.DUMMYFUNCTION("GOOGLETRANSLATE(B1188, ""bn"", ""en"")"),"On June 17 in Narail, Acting Principal of Mirzapur United Degree College, Swapan Kumar Biswas, was put on a garland of shoes in front of the DC, SP and government party leaders, accusing him of insulting religion.")</f>
        <v>On June 17 in Narail, Acting Principal of Mirzapur United Degree College, Swapan Kumar Biswas, was put on a garland of shoes in front of the DC, SP and government party leaders, accusing him of insulting religion.</v>
      </c>
      <c r="D1188" s="5"/>
      <c r="E1188" s="5"/>
      <c r="F1188" s="5"/>
      <c r="G1188" s="5"/>
      <c r="H1188" s="5"/>
      <c r="I1188" s="5"/>
      <c r="J1188" s="5"/>
      <c r="K1188" s="5"/>
      <c r="L1188" s="5"/>
      <c r="M1188" s="5"/>
      <c r="N1188" s="5"/>
      <c r="O1188" s="5"/>
      <c r="P1188" s="5"/>
      <c r="Q1188" s="5"/>
      <c r="R1188" s="5"/>
      <c r="S1188" s="5"/>
      <c r="T1188" s="5"/>
      <c r="U1188" s="5"/>
      <c r="V1188" s="5"/>
      <c r="W1188" s="5"/>
      <c r="X1188" s="5"/>
      <c r="Y1188" s="5"/>
      <c r="Z1188" s="5"/>
    </row>
    <row r="1189" spans="1:26" ht="15.6" x14ac:dyDescent="0.3">
      <c r="A1189" s="19" t="s">
        <v>23</v>
      </c>
      <c r="B1189" s="26" t="s">
        <v>1194</v>
      </c>
      <c r="C1189" s="2" t="str">
        <f ca="1">IFERROR(__xludf.DUMMYFUNCTION("GOOGLETRANSLATE(B1189, ""bn"", ""en"")"),"Sarcasm and provocative posts about religion.")</f>
        <v>Sarcasm and provocative posts about religion.</v>
      </c>
      <c r="D1189" s="5"/>
      <c r="E1189" s="5"/>
      <c r="F1189" s="5"/>
      <c r="G1189" s="5"/>
      <c r="H1189" s="5"/>
      <c r="I1189" s="5"/>
      <c r="J1189" s="5"/>
      <c r="K1189" s="5"/>
      <c r="L1189" s="5"/>
      <c r="M1189" s="5"/>
      <c r="N1189" s="5"/>
      <c r="O1189" s="5"/>
      <c r="P1189" s="5"/>
      <c r="Q1189" s="5"/>
      <c r="R1189" s="5"/>
      <c r="S1189" s="5"/>
      <c r="T1189" s="5"/>
      <c r="U1189" s="5"/>
      <c r="V1189" s="5"/>
      <c r="W1189" s="5"/>
      <c r="X1189" s="5"/>
      <c r="Y1189" s="5"/>
      <c r="Z1189" s="5"/>
    </row>
    <row r="1190" spans="1:26" ht="15.6" x14ac:dyDescent="0.3">
      <c r="A1190" s="19" t="s">
        <v>23</v>
      </c>
      <c r="B1190" s="26" t="s">
        <v>1195</v>
      </c>
      <c r="C1190" s="2" t="str">
        <f ca="1">IFERROR(__xludf.DUMMYFUNCTION("GOOGLETRANSLATE(B1190, ""bn"", ""en"")"),"There is a consensus among the rest of the Muslims that those who make bad comments about Chanchal are reprehensible.")</f>
        <v>There is a consensus among the rest of the Muslims that those who make bad comments about Chanchal are reprehensible.</v>
      </c>
      <c r="D1190" s="5"/>
      <c r="E1190" s="5"/>
      <c r="F1190" s="5"/>
      <c r="G1190" s="5"/>
      <c r="H1190" s="5"/>
      <c r="I1190" s="5"/>
      <c r="J1190" s="5"/>
      <c r="K1190" s="5"/>
      <c r="L1190" s="5"/>
      <c r="M1190" s="5"/>
      <c r="N1190" s="5"/>
      <c r="O1190" s="5"/>
      <c r="P1190" s="5"/>
      <c r="Q1190" s="5"/>
      <c r="R1190" s="5"/>
      <c r="S1190" s="5"/>
      <c r="T1190" s="5"/>
      <c r="U1190" s="5"/>
      <c r="V1190" s="5"/>
      <c r="W1190" s="5"/>
      <c r="X1190" s="5"/>
      <c r="Y1190" s="5"/>
      <c r="Z1190" s="5"/>
    </row>
    <row r="1191" spans="1:26" ht="15.6" x14ac:dyDescent="0.3">
      <c r="A1191" s="19" t="s">
        <v>5</v>
      </c>
      <c r="B1191" s="26" t="s">
        <v>1196</v>
      </c>
      <c r="C1191" s="2" t="str">
        <f ca="1">IFERROR(__xludf.DUMMYFUNCTION("GOOGLETRANSLATE(B1191, ""bn"", ""en"")"),"Pandit Mashai, you say non-vegetarian eating; Provide proper documents and proof of this.")</f>
        <v>Pandit Mashai, you say non-vegetarian eating; Provide proper documents and proof of this.</v>
      </c>
      <c r="D1191" s="7"/>
      <c r="E1191" s="5"/>
      <c r="F1191" s="5"/>
      <c r="G1191" s="5"/>
      <c r="H1191" s="5"/>
      <c r="I1191" s="5"/>
      <c r="J1191" s="5"/>
      <c r="K1191" s="5"/>
      <c r="L1191" s="5"/>
      <c r="M1191" s="5"/>
      <c r="N1191" s="5"/>
      <c r="O1191" s="5"/>
      <c r="P1191" s="5"/>
      <c r="Q1191" s="5"/>
      <c r="R1191" s="5"/>
      <c r="S1191" s="5"/>
      <c r="T1191" s="5"/>
      <c r="U1191" s="5"/>
      <c r="V1191" s="5"/>
      <c r="W1191" s="5"/>
      <c r="X1191" s="5"/>
      <c r="Y1191" s="5"/>
      <c r="Z1191" s="5"/>
    </row>
    <row r="1192" spans="1:26" ht="15.6" x14ac:dyDescent="0.3">
      <c r="A1192" s="18" t="s">
        <v>5</v>
      </c>
      <c r="B1192" s="24" t="s">
        <v>1197</v>
      </c>
      <c r="C1192" s="2" t="str">
        <f ca="1">IFERROR(__xludf.DUMMYFUNCTION("GOOGLETRANSLATE(B1192, ""bn"", ""en"")"),"40 people lost their lives in Lalmonirhat clashes due to religious differences. Police failed to quell the violence, the government ordered calm. Affected families leave the village for safety reasons.")</f>
        <v>40 people lost their lives in Lalmonirhat clashes due to religious differences. Police failed to quell the violence, the government ordered calm. Affected families leave the village for safety reasons.</v>
      </c>
      <c r="D1192" s="5"/>
      <c r="E1192" s="5"/>
      <c r="F1192" s="5"/>
      <c r="G1192" s="5"/>
      <c r="H1192" s="5"/>
      <c r="I1192" s="5"/>
      <c r="J1192" s="5"/>
      <c r="K1192" s="5"/>
      <c r="L1192" s="5"/>
      <c r="M1192" s="5"/>
      <c r="N1192" s="5"/>
      <c r="O1192" s="5"/>
      <c r="P1192" s="5"/>
      <c r="Q1192" s="5"/>
      <c r="R1192" s="5"/>
      <c r="S1192" s="5"/>
      <c r="T1192" s="5"/>
      <c r="U1192" s="5"/>
      <c r="V1192" s="5"/>
      <c r="W1192" s="5"/>
      <c r="X1192" s="5"/>
      <c r="Y1192" s="5"/>
      <c r="Z1192" s="5"/>
    </row>
    <row r="1193" spans="1:26" ht="15.6" x14ac:dyDescent="0.3">
      <c r="A1193" s="18" t="s">
        <v>23</v>
      </c>
      <c r="B1193" s="25" t="s">
        <v>165</v>
      </c>
      <c r="C1193" s="2" t="str">
        <f ca="1">IFERROR(__xludf.DUMMYFUNCTION("GOOGLETRANSLATE(B1193, ""bn"", ""en"")"),"How can my Muslim brother kill a brother and the brother remains. Where am I today? May Allah judge them.")</f>
        <v>How can my Muslim brother kill a brother and the brother remains. Where am I today? May Allah judge them.</v>
      </c>
      <c r="D1193" s="5"/>
      <c r="E1193" s="5"/>
      <c r="F1193" s="5"/>
      <c r="G1193" s="5"/>
      <c r="H1193" s="5"/>
      <c r="I1193" s="5"/>
      <c r="J1193" s="5"/>
      <c r="K1193" s="5"/>
      <c r="L1193" s="5"/>
      <c r="M1193" s="5"/>
      <c r="N1193" s="5"/>
      <c r="O1193" s="5"/>
      <c r="P1193" s="5"/>
      <c r="Q1193" s="5"/>
      <c r="R1193" s="5"/>
      <c r="S1193" s="5"/>
      <c r="T1193" s="5"/>
      <c r="U1193" s="5"/>
      <c r="V1193" s="5"/>
      <c r="W1193" s="5"/>
      <c r="X1193" s="5"/>
      <c r="Y1193" s="5"/>
      <c r="Z1193" s="5"/>
    </row>
    <row r="1194" spans="1:26" ht="15.6" x14ac:dyDescent="0.3">
      <c r="A1194" s="19" t="s">
        <v>23</v>
      </c>
      <c r="B1194" s="26" t="s">
        <v>1198</v>
      </c>
      <c r="C1194" s="2" t="str">
        <f ca="1">IFERROR(__xludf.DUMMYFUNCTION("GOOGLETRANSLATE(B1194, ""bn"", ""en"")"),"Violence on rumors of blasphemy in Bangladesh, how the government views the situation")</f>
        <v>Violence on rumors of blasphemy in Bangladesh, how the government views the situation</v>
      </c>
      <c r="D1194" s="5"/>
      <c r="E1194" s="5"/>
      <c r="F1194" s="5"/>
      <c r="G1194" s="5"/>
      <c r="H1194" s="5"/>
      <c r="I1194" s="5"/>
      <c r="J1194" s="5"/>
      <c r="K1194" s="5"/>
      <c r="L1194" s="5"/>
      <c r="M1194" s="5"/>
      <c r="N1194" s="5"/>
      <c r="O1194" s="5"/>
      <c r="P1194" s="5"/>
      <c r="Q1194" s="5"/>
      <c r="R1194" s="5"/>
      <c r="S1194" s="5"/>
      <c r="T1194" s="5"/>
      <c r="U1194" s="5"/>
      <c r="V1194" s="5"/>
      <c r="W1194" s="5"/>
      <c r="X1194" s="5"/>
      <c r="Y1194" s="5"/>
      <c r="Z1194" s="5"/>
    </row>
    <row r="1195" spans="1:26" ht="15.6" x14ac:dyDescent="0.3">
      <c r="A1195" s="18" t="s">
        <v>5</v>
      </c>
      <c r="B1195" s="25" t="s">
        <v>1199</v>
      </c>
      <c r="C1195" s="2" t="str">
        <f ca="1">IFERROR(__xludf.DUMMYFUNCTION("GOOGLETRANSLATE(B1195, ""bn"", ""en"")"),"Thousands of people were brutally killed in Chuknagar for being Muslims. Knowing that life was impossible, many committed suicide to escape this gruesome carnage.")</f>
        <v>Thousands of people were brutally killed in Chuknagar for being Muslims. Knowing that life was impossible, many committed suicide to escape this gruesome carnage.</v>
      </c>
      <c r="D1195" s="5"/>
      <c r="E1195" s="5"/>
      <c r="F1195" s="5"/>
      <c r="G1195" s="5"/>
      <c r="H1195" s="5"/>
      <c r="I1195" s="5"/>
      <c r="J1195" s="5"/>
      <c r="K1195" s="5"/>
      <c r="L1195" s="5"/>
      <c r="M1195" s="5"/>
      <c r="N1195" s="5"/>
      <c r="O1195" s="5"/>
      <c r="P1195" s="5"/>
      <c r="Q1195" s="5"/>
      <c r="R1195" s="5"/>
      <c r="S1195" s="5"/>
      <c r="T1195" s="5"/>
      <c r="U1195" s="5"/>
      <c r="V1195" s="5"/>
      <c r="W1195" s="5"/>
      <c r="X1195" s="5"/>
      <c r="Y1195" s="5"/>
      <c r="Z1195" s="5"/>
    </row>
    <row r="1196" spans="1:26" ht="15.6" x14ac:dyDescent="0.3">
      <c r="A1196" s="19" t="s">
        <v>23</v>
      </c>
      <c r="B1196" s="26" t="s">
        <v>1200</v>
      </c>
      <c r="C1196" s="2" t="str">
        <f ca="1">IFERROR(__xludf.DUMMYFUNCTION("GOOGLETRANSLATE(B1196, ""bn"", ""en"")"),"In Islam, it is clearly stated that prayer should not be done in the house where there is an idol.")</f>
        <v>In Islam, it is clearly stated that prayer should not be done in the house where there is an idol.</v>
      </c>
      <c r="D1196" s="5"/>
      <c r="E1196" s="5"/>
      <c r="F1196" s="5"/>
      <c r="G1196" s="5"/>
      <c r="H1196" s="5"/>
      <c r="I1196" s="5"/>
      <c r="J1196" s="5"/>
      <c r="K1196" s="5"/>
      <c r="L1196" s="5"/>
      <c r="M1196" s="5"/>
      <c r="N1196" s="5"/>
      <c r="O1196" s="5"/>
      <c r="P1196" s="5"/>
      <c r="Q1196" s="5"/>
      <c r="R1196" s="5"/>
      <c r="S1196" s="5"/>
      <c r="T1196" s="5"/>
      <c r="U1196" s="5"/>
      <c r="V1196" s="5"/>
      <c r="W1196" s="5"/>
      <c r="X1196" s="5"/>
      <c r="Y1196" s="5"/>
      <c r="Z1196" s="5"/>
    </row>
    <row r="1197" spans="1:26" ht="15.6" x14ac:dyDescent="0.3">
      <c r="A1197" s="18" t="s">
        <v>23</v>
      </c>
      <c r="B1197" s="24" t="s">
        <v>1201</v>
      </c>
      <c r="C1197" s="2" t="str">
        <f ca="1">IFERROR(__xludf.DUMMYFUNCTION("GOOGLETRANSLATE(B1197, ""bn"", ""en"")"),"Hindus are often anti-religious, do not respect the religious sentiments of others and increase religious conflicts.")</f>
        <v>Hindus are often anti-religious, do not respect the religious sentiments of others and increase religious conflicts.</v>
      </c>
      <c r="D1197" s="5"/>
      <c r="E1197" s="5"/>
      <c r="F1197" s="5"/>
      <c r="G1197" s="5"/>
      <c r="H1197" s="5"/>
      <c r="I1197" s="5"/>
      <c r="J1197" s="5"/>
      <c r="K1197" s="5"/>
      <c r="L1197" s="5"/>
      <c r="M1197" s="5"/>
      <c r="N1197" s="5"/>
      <c r="O1197" s="5"/>
      <c r="P1197" s="5"/>
      <c r="Q1197" s="5"/>
      <c r="R1197" s="5"/>
      <c r="S1197" s="5"/>
      <c r="T1197" s="5"/>
      <c r="U1197" s="5"/>
      <c r="V1197" s="5"/>
      <c r="W1197" s="5"/>
      <c r="X1197" s="5"/>
      <c r="Y1197" s="5"/>
      <c r="Z1197" s="5"/>
    </row>
    <row r="1198" spans="1:26" ht="15.6" x14ac:dyDescent="0.3">
      <c r="A1198" s="18" t="s">
        <v>23</v>
      </c>
      <c r="B1198" s="25" t="s">
        <v>1202</v>
      </c>
      <c r="C1198" s="2" t="str">
        <f ca="1">IFERROR(__xludf.DUMMYFUNCTION("GOOGLETRANSLATE(B1198, ""bn"", ""en"")"),"Desecration of the Quran is against all religious teachings and international norms. A request has been made by the Saudi government to stop such humiliating activities.")</f>
        <v>Desecration of the Quran is against all religious teachings and international norms. A request has been made by the Saudi government to stop such humiliating activities.</v>
      </c>
      <c r="D1198" s="2"/>
      <c r="E1198" s="2"/>
      <c r="F1198" s="2"/>
      <c r="G1198" s="2"/>
      <c r="H1198" s="3"/>
      <c r="I1198" s="3"/>
      <c r="J1198" s="3"/>
      <c r="K1198" s="3"/>
      <c r="L1198" s="3"/>
      <c r="M1198" s="3"/>
      <c r="N1198" s="3"/>
      <c r="O1198" s="3"/>
      <c r="P1198" s="3"/>
      <c r="Q1198" s="3"/>
      <c r="R1198" s="3"/>
      <c r="S1198" s="3"/>
      <c r="T1198" s="3"/>
      <c r="U1198" s="3"/>
      <c r="V1198" s="3"/>
      <c r="W1198" s="3"/>
      <c r="X1198" s="3"/>
      <c r="Y1198" s="3"/>
      <c r="Z1198" s="3"/>
    </row>
    <row r="1199" spans="1:26" ht="15.6" x14ac:dyDescent="0.3">
      <c r="A1199" s="18" t="s">
        <v>3</v>
      </c>
      <c r="B1199" s="25" t="s">
        <v>1203</v>
      </c>
      <c r="C1199" s="2" t="str">
        <f ca="1">IFERROR(__xludf.DUMMYFUNCTION("GOOGLETRANSLATE(B1199, ""bn"", ""en"")"),"I have sent you with sound religious knowledge and as a warner. You will not be asked any questions about the people of Hell.")</f>
        <v>I have sent you with sound religious knowledge and as a warner. You will not be asked any questions about the people of Hell.</v>
      </c>
      <c r="D1199" s="2"/>
      <c r="E1199" s="2"/>
      <c r="F1199" s="2"/>
      <c r="G1199" s="2"/>
      <c r="H1199" s="3"/>
      <c r="I1199" s="3"/>
      <c r="J1199" s="3"/>
      <c r="K1199" s="3"/>
      <c r="L1199" s="3"/>
      <c r="M1199" s="3"/>
      <c r="N1199" s="3"/>
      <c r="O1199" s="3"/>
      <c r="P1199" s="3"/>
      <c r="Q1199" s="3"/>
      <c r="R1199" s="3"/>
      <c r="S1199" s="3"/>
      <c r="T1199" s="3"/>
      <c r="U1199" s="3"/>
      <c r="V1199" s="3"/>
      <c r="W1199" s="3"/>
      <c r="X1199" s="3"/>
      <c r="Y1199" s="3"/>
      <c r="Z1199" s="3"/>
    </row>
    <row r="1200" spans="1:26" ht="15.6" x14ac:dyDescent="0.3">
      <c r="A1200" s="18" t="s">
        <v>8</v>
      </c>
      <c r="B1200" s="24" t="s">
        <v>1204</v>
      </c>
      <c r="C1200" s="2" t="str">
        <f ca="1">IFERROR(__xludf.DUMMYFUNCTION("GOOGLETRANSLATE(B1200, ""bn"", ""en"")"),"In Kurigram, bullock carts attacked the temple, vandalized the lid and damaged the eye of the idol.")</f>
        <v>In Kurigram, bullock carts attacked the temple, vandalized the lid and damaged the eye of the idol.</v>
      </c>
      <c r="D1200" s="5"/>
      <c r="E1200" s="5"/>
      <c r="F1200" s="5"/>
      <c r="G1200" s="5"/>
      <c r="H1200" s="5"/>
      <c r="I1200" s="5"/>
      <c r="J1200" s="5"/>
      <c r="K1200" s="5"/>
      <c r="L1200" s="5"/>
      <c r="M1200" s="5"/>
      <c r="N1200" s="5"/>
      <c r="O1200" s="5"/>
      <c r="P1200" s="5"/>
      <c r="Q1200" s="5"/>
      <c r="R1200" s="5"/>
      <c r="S1200" s="5"/>
      <c r="T1200" s="5"/>
      <c r="U1200" s="5"/>
      <c r="V1200" s="5"/>
      <c r="W1200" s="5"/>
      <c r="X1200" s="5"/>
      <c r="Y1200" s="5"/>
      <c r="Z1200" s="5"/>
    </row>
    <row r="1201" spans="1:26" ht="15.6" x14ac:dyDescent="0.3">
      <c r="A1201" s="18" t="s">
        <v>8</v>
      </c>
      <c r="B1201" s="25" t="s">
        <v>1205</v>
      </c>
      <c r="C1201" s="2" t="str">
        <f ca="1">IFERROR(__xludf.DUMMYFUNCTION("GOOGLETRANSLATE(B1201, ""bn"", ""en"")"),"In 1990, a dispute over mosques and temples led to large-scale communal riots.")</f>
        <v>In 1990, a dispute over mosques and temples led to large-scale communal riots.</v>
      </c>
      <c r="D1201" s="5"/>
      <c r="E1201" s="5"/>
      <c r="F1201" s="5"/>
      <c r="G1201" s="5"/>
      <c r="H1201" s="5"/>
      <c r="I1201" s="5"/>
      <c r="J1201" s="5"/>
      <c r="K1201" s="5"/>
      <c r="L1201" s="5"/>
      <c r="M1201" s="5"/>
      <c r="N1201" s="5"/>
      <c r="O1201" s="5"/>
      <c r="P1201" s="5"/>
      <c r="Q1201" s="5"/>
      <c r="R1201" s="5"/>
      <c r="S1201" s="5"/>
      <c r="T1201" s="5"/>
      <c r="U1201" s="5"/>
      <c r="V1201" s="5"/>
      <c r="W1201" s="5"/>
      <c r="X1201" s="5"/>
      <c r="Y1201" s="5"/>
      <c r="Z1201" s="5"/>
    </row>
    <row r="1202" spans="1:26" ht="15.6" x14ac:dyDescent="0.3">
      <c r="A1202" s="19" t="s">
        <v>3</v>
      </c>
      <c r="B1202" s="26" t="s">
        <v>1206</v>
      </c>
      <c r="C1202" s="2" t="str">
        <f ca="1">IFERROR(__xludf.DUMMYFUNCTION("GOOGLETRANSLATE(B1202, ""bn"", ""en"")"),"Islam is a religion of peace, so such trickery is not acceptable. The court should advise to ensure Hindu-Muslim unity and peaceful co-existence by constructing mosques at disputed sites.")</f>
        <v>Islam is a religion of peace, so such trickery is not acceptable. The court should advise to ensure Hindu-Muslim unity and peaceful co-existence by constructing mosques at disputed sites.</v>
      </c>
      <c r="D1202" s="7"/>
      <c r="E1202" s="7"/>
      <c r="F1202" s="7"/>
      <c r="G1202" s="7"/>
      <c r="H1202" s="7"/>
      <c r="I1202" s="7"/>
      <c r="J1202" s="7"/>
      <c r="K1202" s="7"/>
      <c r="L1202" s="7"/>
      <c r="M1202" s="7"/>
      <c r="N1202" s="7"/>
      <c r="O1202" s="5"/>
      <c r="P1202" s="5"/>
      <c r="Q1202" s="5"/>
      <c r="R1202" s="5"/>
      <c r="S1202" s="5"/>
      <c r="T1202" s="5"/>
      <c r="U1202" s="5"/>
      <c r="V1202" s="5"/>
      <c r="W1202" s="5"/>
      <c r="X1202" s="5"/>
      <c r="Y1202" s="5"/>
      <c r="Z1202" s="5"/>
    </row>
    <row r="1203" spans="1:26" ht="15.6" x14ac:dyDescent="0.3">
      <c r="A1203" s="18" t="s">
        <v>3</v>
      </c>
      <c r="B1203" s="25" t="s">
        <v>1207</v>
      </c>
      <c r="C1203" s="2" t="str">
        <f ca="1">IFERROR(__xludf.DUMMYFUNCTION("GOOGLETRANSLATE(B1203, ""bn"", ""en"")"),"As it is a sign of doomsday, it is the last time, now the Muslims of the whole world will be united. Finally Islam will win. La ilaha illallahu muhammadur rasulullah sallallahu alaihi wa sallam.")</f>
        <v>As it is a sign of doomsday, it is the last time, now the Muslims of the whole world will be united. Finally Islam will win. La ilaha illallahu muhammadur rasulullah sallallahu alaihi wa sallam.</v>
      </c>
      <c r="D1203" s="5"/>
      <c r="E1203" s="5"/>
      <c r="F1203" s="5"/>
      <c r="G1203" s="5"/>
      <c r="H1203" s="5"/>
      <c r="I1203" s="5"/>
      <c r="J1203" s="5"/>
      <c r="K1203" s="5"/>
      <c r="L1203" s="5"/>
      <c r="M1203" s="5"/>
      <c r="N1203" s="5"/>
      <c r="O1203" s="5"/>
      <c r="P1203" s="5"/>
      <c r="Q1203" s="5"/>
      <c r="R1203" s="5"/>
      <c r="S1203" s="5"/>
      <c r="T1203" s="5"/>
      <c r="U1203" s="5"/>
      <c r="V1203" s="5"/>
      <c r="W1203" s="5"/>
      <c r="X1203" s="5"/>
      <c r="Y1203" s="5"/>
      <c r="Z1203" s="5"/>
    </row>
    <row r="1204" spans="1:26" ht="15.6" x14ac:dyDescent="0.3">
      <c r="A1204" s="19" t="s">
        <v>23</v>
      </c>
      <c r="B1204" s="26" t="s">
        <v>1208</v>
      </c>
      <c r="C1204" s="2" t="str">
        <f ca="1">IFERROR(__xludf.DUMMYFUNCTION("GOOGLETRANSLATE(B1204, ""bn"", ""en"")"),"The religion of Muslims is repeatedly insulted, but not given proper justice. So insults are increasing and one day it will have to be answered hard in this world or hereafter.")</f>
        <v>The religion of Muslims is repeatedly insulted, but not given proper justice. So insults are increasing and one day it will have to be answered hard in this world or hereafter.</v>
      </c>
      <c r="D1204" s="7"/>
      <c r="E1204" s="7"/>
      <c r="F1204" s="7"/>
      <c r="G1204" s="7"/>
      <c r="H1204" s="7"/>
      <c r="I1204" s="7"/>
      <c r="J1204" s="7"/>
      <c r="K1204" s="7"/>
      <c r="L1204" s="5"/>
      <c r="M1204" s="5"/>
      <c r="N1204" s="5"/>
      <c r="O1204" s="5"/>
      <c r="P1204" s="5"/>
      <c r="Q1204" s="5"/>
      <c r="R1204" s="5"/>
      <c r="S1204" s="5"/>
      <c r="T1204" s="5"/>
      <c r="U1204" s="5"/>
      <c r="V1204" s="5"/>
      <c r="W1204" s="5"/>
      <c r="X1204" s="5"/>
      <c r="Y1204" s="5"/>
      <c r="Z1204" s="5"/>
    </row>
    <row r="1205" spans="1:26" ht="15.6" x14ac:dyDescent="0.3">
      <c r="A1205" s="18" t="s">
        <v>23</v>
      </c>
      <c r="B1205" s="25" t="s">
        <v>1209</v>
      </c>
      <c r="C1205" s="2" t="str">
        <f ca="1">IFERROR(__xludf.DUMMYFUNCTION("GOOGLETRANSLATE(B1205, ""bn"", ""en"")"),"Similarly, if Hindus are able to stop the construction of a mosque 1 km away for the sake of the temple, then the next step will be that no cow can be slaughtered in that Kantnagar village.")</f>
        <v>Similarly, if Hindus are able to stop the construction of a mosque 1 km away for the sake of the temple, then the next step will be that no cow can be slaughtered in that Kantnagar village.</v>
      </c>
      <c r="D1205" s="5"/>
      <c r="E1205" s="5"/>
      <c r="F1205" s="5"/>
      <c r="G1205" s="5"/>
      <c r="H1205" s="5"/>
      <c r="I1205" s="5"/>
      <c r="J1205" s="5"/>
      <c r="K1205" s="5"/>
      <c r="L1205" s="5"/>
      <c r="M1205" s="5"/>
      <c r="N1205" s="5"/>
      <c r="O1205" s="5"/>
      <c r="P1205" s="5"/>
      <c r="Q1205" s="5"/>
      <c r="R1205" s="5"/>
      <c r="S1205" s="5"/>
      <c r="T1205" s="5"/>
      <c r="U1205" s="5"/>
      <c r="V1205" s="5"/>
      <c r="W1205" s="5"/>
      <c r="X1205" s="5"/>
      <c r="Y1205" s="5"/>
      <c r="Z1205" s="5"/>
    </row>
    <row r="1206" spans="1:26" ht="15.6" x14ac:dyDescent="0.3">
      <c r="A1206" s="18" t="s">
        <v>3</v>
      </c>
      <c r="B1206" s="25" t="s">
        <v>1210</v>
      </c>
      <c r="C1206" s="2" t="str">
        <f ca="1">IFERROR(__xludf.DUMMYFUNCTION("GOOGLETRANSLATE(B1206, ""bn"", ""en"")"),"May Allah bless you with many blessings. To give such a beautiful class and presented it very nicely.")</f>
        <v>May Allah bless you with many blessings. To give such a beautiful class and presented it very nicely.</v>
      </c>
      <c r="D1206" s="5"/>
      <c r="E1206" s="5"/>
      <c r="F1206" s="5"/>
      <c r="G1206" s="5"/>
      <c r="H1206" s="5"/>
      <c r="I1206" s="5"/>
      <c r="J1206" s="5"/>
      <c r="K1206" s="5"/>
      <c r="L1206" s="5"/>
      <c r="M1206" s="5"/>
      <c r="N1206" s="5"/>
      <c r="O1206" s="5"/>
      <c r="P1206" s="5"/>
      <c r="Q1206" s="5"/>
      <c r="R1206" s="5"/>
      <c r="S1206" s="5"/>
      <c r="T1206" s="5"/>
      <c r="U1206" s="5"/>
      <c r="V1206" s="5"/>
      <c r="W1206" s="5"/>
      <c r="X1206" s="5"/>
      <c r="Y1206" s="5"/>
      <c r="Z1206" s="5"/>
    </row>
    <row r="1207" spans="1:26" ht="15.6" x14ac:dyDescent="0.3">
      <c r="A1207" s="19" t="s">
        <v>3</v>
      </c>
      <c r="B1207" s="26" t="s">
        <v>1211</v>
      </c>
      <c r="C1207" s="2" t="str">
        <f ca="1">IFERROR(__xludf.DUMMYFUNCTION("GOOGLETRANSLATE(B1207, ""bn"", ""en"")"),"Those who keep themselves away from Islam--they are deprived of Allah's help in times of trouble--Allah is our only helper!!!")</f>
        <v>Those who keep themselves away from Islam--they are deprived of Allah's help in times of trouble--Allah is our only helper!!!</v>
      </c>
      <c r="D1207" s="5"/>
      <c r="E1207" s="5"/>
      <c r="F1207" s="5"/>
      <c r="G1207" s="5"/>
      <c r="H1207" s="5"/>
      <c r="I1207" s="5"/>
      <c r="J1207" s="5"/>
      <c r="K1207" s="5"/>
      <c r="L1207" s="5"/>
      <c r="M1207" s="5"/>
      <c r="N1207" s="5"/>
      <c r="O1207" s="5"/>
      <c r="P1207" s="5"/>
      <c r="Q1207" s="5"/>
      <c r="R1207" s="5"/>
      <c r="S1207" s="5"/>
      <c r="T1207" s="5"/>
      <c r="U1207" s="5"/>
      <c r="V1207" s="5"/>
      <c r="W1207" s="5"/>
      <c r="X1207" s="5"/>
      <c r="Y1207" s="5"/>
      <c r="Z1207" s="5"/>
    </row>
    <row r="1208" spans="1:26" ht="15.6" x14ac:dyDescent="0.3">
      <c r="A1208" s="18" t="s">
        <v>8</v>
      </c>
      <c r="B1208" s="25" t="s">
        <v>1212</v>
      </c>
      <c r="C1208" s="2" t="str">
        <f ca="1">IFERROR(__xludf.DUMMYFUNCTION("GOOGLETRANSLATE(B1208, ""bn"", ""en"")"),"From Sindurpindi to Takahara in Dhantala Union, the idols of Hindu religious temples were systematically vandalized, depicting images of religious violence, including the Mansa, Kali and Krishna temples.")</f>
        <v>From Sindurpindi to Takahara in Dhantala Union, the idols of Hindu religious temples were systematically vandalized, depicting images of religious violence, including the Mansa, Kali and Krishna temples.</v>
      </c>
      <c r="D1208" s="5"/>
      <c r="E1208" s="5"/>
      <c r="F1208" s="5"/>
      <c r="G1208" s="5"/>
      <c r="H1208" s="5"/>
      <c r="I1208" s="5"/>
      <c r="J1208" s="5"/>
      <c r="K1208" s="5"/>
      <c r="L1208" s="5"/>
      <c r="M1208" s="5"/>
      <c r="N1208" s="5"/>
      <c r="O1208" s="5"/>
      <c r="P1208" s="5"/>
      <c r="Q1208" s="5"/>
      <c r="R1208" s="5"/>
      <c r="S1208" s="5"/>
      <c r="T1208" s="5"/>
      <c r="U1208" s="5"/>
      <c r="V1208" s="5"/>
      <c r="W1208" s="5"/>
      <c r="X1208" s="5"/>
      <c r="Y1208" s="5"/>
      <c r="Z1208" s="5"/>
    </row>
    <row r="1209" spans="1:26" ht="15.6" x14ac:dyDescent="0.3">
      <c r="A1209" s="18" t="s">
        <v>3</v>
      </c>
      <c r="B1209" s="25" t="s">
        <v>1213</v>
      </c>
      <c r="C1209" s="2" t="str">
        <f ca="1">IFERROR(__xludf.DUMMYFUNCTION("GOOGLETRANSLATE(B1209, ""bn"", ""en"")"),"Protect mothers and sisters O Allah, You are the Almighty, You are the Merciful. Establish peace and justice in this world with your mercy.")</f>
        <v>Protect mothers and sisters O Allah, You are the Almighty, You are the Merciful. Establish peace and justice in this world with your mercy.</v>
      </c>
      <c r="D1209" s="5"/>
      <c r="E1209" s="5"/>
      <c r="F1209" s="5"/>
      <c r="G1209" s="5"/>
      <c r="H1209" s="5"/>
      <c r="I1209" s="5"/>
      <c r="J1209" s="5"/>
      <c r="K1209" s="5"/>
      <c r="L1209" s="5"/>
      <c r="M1209" s="5"/>
      <c r="N1209" s="5"/>
      <c r="O1209" s="5"/>
      <c r="P1209" s="5"/>
      <c r="Q1209" s="5"/>
      <c r="R1209" s="5"/>
      <c r="S1209" s="5"/>
      <c r="T1209" s="5"/>
      <c r="U1209" s="5"/>
      <c r="V1209" s="5"/>
      <c r="W1209" s="5"/>
      <c r="X1209" s="5"/>
      <c r="Y1209" s="5"/>
      <c r="Z1209" s="5"/>
    </row>
    <row r="1210" spans="1:26" ht="15.6" x14ac:dyDescent="0.3">
      <c r="A1210" s="18" t="s">
        <v>5</v>
      </c>
      <c r="B1210" s="25" t="s">
        <v>1214</v>
      </c>
      <c r="C1210" s="2" t="str">
        <f ca="1">IFERROR(__xludf.DUMMYFUNCTION("GOOGLETRANSLATE(B1210, ""bn"", ""en"")"),"A Hindu tailor was brutally killed by two Muslim men for allegedly insulting the Holy Prophet (PBUH), sparking tension across the country.")</f>
        <v>A Hindu tailor was brutally killed by two Muslim men for allegedly insulting the Holy Prophet (PBUH), sparking tension across the country.</v>
      </c>
      <c r="D1210" s="5"/>
      <c r="E1210" s="5"/>
      <c r="F1210" s="5"/>
      <c r="G1210" s="5"/>
      <c r="H1210" s="5"/>
      <c r="I1210" s="5"/>
      <c r="J1210" s="5"/>
      <c r="K1210" s="5"/>
      <c r="L1210" s="5"/>
      <c r="M1210" s="5"/>
      <c r="N1210" s="5"/>
      <c r="O1210" s="5"/>
      <c r="P1210" s="5"/>
      <c r="Q1210" s="5"/>
      <c r="R1210" s="5"/>
      <c r="S1210" s="5"/>
      <c r="T1210" s="5"/>
      <c r="U1210" s="5"/>
      <c r="V1210" s="5"/>
      <c r="W1210" s="5"/>
      <c r="X1210" s="5"/>
      <c r="Y1210" s="5"/>
      <c r="Z1210" s="5"/>
    </row>
    <row r="1211" spans="1:26" ht="15.6" x14ac:dyDescent="0.3">
      <c r="A1211" s="19" t="s">
        <v>3</v>
      </c>
      <c r="B1211" s="26" t="s">
        <v>1215</v>
      </c>
      <c r="C1211" s="2" t="str">
        <f ca="1">IFERROR(__xludf.DUMMYFUNCTION("GOOGLETRANSLATE(B1211, ""bn"", ""en"")"),"We do not support DU's decision; We also participate in Iftar.")</f>
        <v>We do not support DU's decision; We also participate in Iftar.</v>
      </c>
      <c r="D1211" s="5"/>
      <c r="E1211" s="5"/>
      <c r="F1211" s="5"/>
      <c r="G1211" s="5"/>
      <c r="H1211" s="5"/>
      <c r="I1211" s="5"/>
      <c r="J1211" s="5"/>
      <c r="K1211" s="5"/>
      <c r="L1211" s="5"/>
      <c r="M1211" s="5"/>
      <c r="N1211" s="5"/>
      <c r="O1211" s="5"/>
      <c r="P1211" s="5"/>
      <c r="Q1211" s="5"/>
      <c r="R1211" s="5"/>
      <c r="S1211" s="5"/>
      <c r="T1211" s="5"/>
      <c r="U1211" s="5"/>
      <c r="V1211" s="5"/>
      <c r="W1211" s="5"/>
      <c r="X1211" s="5"/>
      <c r="Y1211" s="5"/>
      <c r="Z1211" s="5"/>
    </row>
    <row r="1212" spans="1:26" ht="15.6" x14ac:dyDescent="0.3">
      <c r="A1212" s="18" t="s">
        <v>23</v>
      </c>
      <c r="B1212" s="24" t="s">
        <v>1216</v>
      </c>
      <c r="C1212" s="2" t="str">
        <f ca="1">IFERROR(__xludf.DUMMYFUNCTION("GOOGLETRANSLATE(B1212, ""bn"", ""en"")"),"Extremist groups in the Muslim community are spreading religious extremism and creating hatred towards other religions.")</f>
        <v>Extremist groups in the Muslim community are spreading religious extremism and creating hatred towards other religions.</v>
      </c>
      <c r="D1212" s="5"/>
      <c r="E1212" s="5"/>
      <c r="F1212" s="5"/>
      <c r="G1212" s="5"/>
      <c r="H1212" s="5"/>
      <c r="I1212" s="5"/>
      <c r="J1212" s="5"/>
      <c r="K1212" s="5"/>
      <c r="L1212" s="5"/>
      <c r="M1212" s="5"/>
      <c r="N1212" s="5"/>
      <c r="O1212" s="5"/>
      <c r="P1212" s="5"/>
      <c r="Q1212" s="5"/>
      <c r="R1212" s="5"/>
      <c r="S1212" s="5"/>
      <c r="T1212" s="5"/>
      <c r="U1212" s="5"/>
      <c r="V1212" s="5"/>
      <c r="W1212" s="5"/>
      <c r="X1212" s="5"/>
      <c r="Y1212" s="5"/>
      <c r="Z1212" s="5"/>
    </row>
    <row r="1213" spans="1:26" ht="15.6" x14ac:dyDescent="0.3">
      <c r="A1213" s="19" t="s">
        <v>23</v>
      </c>
      <c r="B1213" s="26" t="s">
        <v>1217</v>
      </c>
      <c r="C1213" s="2" t="str">
        <f ca="1">IFERROR(__xludf.DUMMYFUNCTION("GOOGLETRANSLATE(B1213, ""bn"", ""en"")"),"Brahminbaria is ashamed that 95% of our country is Muslim.")</f>
        <v>Brahminbaria is ashamed that 95% of our country is Muslim.</v>
      </c>
      <c r="D1213" s="5"/>
      <c r="E1213" s="5"/>
      <c r="F1213" s="5"/>
      <c r="G1213" s="5"/>
      <c r="H1213" s="5"/>
      <c r="I1213" s="5"/>
      <c r="J1213" s="5"/>
      <c r="K1213" s="5"/>
      <c r="L1213" s="5"/>
      <c r="M1213" s="5"/>
      <c r="N1213" s="5"/>
      <c r="O1213" s="5"/>
      <c r="P1213" s="5"/>
      <c r="Q1213" s="5"/>
      <c r="R1213" s="5"/>
      <c r="S1213" s="5"/>
      <c r="T1213" s="5"/>
      <c r="U1213" s="5"/>
      <c r="V1213" s="5"/>
      <c r="W1213" s="5"/>
      <c r="X1213" s="5"/>
      <c r="Y1213" s="5"/>
      <c r="Z1213" s="5"/>
    </row>
    <row r="1214" spans="1:26" ht="15.6" x14ac:dyDescent="0.3">
      <c r="A1214" s="18" t="s">
        <v>8</v>
      </c>
      <c r="B1214" s="25" t="s">
        <v>1218</v>
      </c>
      <c r="C1214" s="2" t="str">
        <f ca="1">IFERROR(__xludf.DUMMYFUNCTION("GOOGLETRANSLATE(B1214, ""bn"", ""en"")"),"Those who want to make Fiji a Christian state. This intolerance towards Hindus manifested itself in anti-Hindu rhetoric and destruction of temples. which is the most common form of direct violence against Hindus.")</f>
        <v>Those who want to make Fiji a Christian state. This intolerance towards Hindus manifested itself in anti-Hindu rhetoric and destruction of temples. which is the most common form of direct violence against Hindus.</v>
      </c>
      <c r="D1214" s="5"/>
      <c r="E1214" s="5"/>
      <c r="F1214" s="5"/>
      <c r="G1214" s="5"/>
      <c r="H1214" s="5"/>
      <c r="I1214" s="5"/>
      <c r="J1214" s="5"/>
      <c r="K1214" s="5"/>
      <c r="L1214" s="5"/>
      <c r="M1214" s="5"/>
      <c r="N1214" s="5"/>
      <c r="O1214" s="5"/>
      <c r="P1214" s="5"/>
      <c r="Q1214" s="5"/>
      <c r="R1214" s="5"/>
      <c r="S1214" s="5"/>
      <c r="T1214" s="5"/>
      <c r="U1214" s="5"/>
      <c r="V1214" s="5"/>
      <c r="W1214" s="5"/>
      <c r="X1214" s="5"/>
      <c r="Y1214" s="5"/>
      <c r="Z1214" s="5"/>
    </row>
    <row r="1215" spans="1:26" ht="15.6" x14ac:dyDescent="0.3">
      <c r="A1215" s="18" t="s">
        <v>3</v>
      </c>
      <c r="B1215" s="25" t="s">
        <v>1219</v>
      </c>
      <c r="C1215" s="2" t="str">
        <f ca="1">IFERROR(__xludf.DUMMYFUNCTION("GOOGLETRANSLATE(B1215, ""bn"", ""en"")"),"Just as it cannot be said that your fate will not be like that of Iblis, who is blinded by pride while worshiping, similarly, the end of Abu Jahl whom God has not written down like Abu Sufyan, whom Abu Jahl abuses today, Who gave you that assurance?")</f>
        <v>Just as it cannot be said that your fate will not be like that of Iblis, who is blinded by pride while worshiping, similarly, the end of Abu Jahl whom God has not written down like Abu Sufyan, whom Abu Jahl abuses today, Who gave you that assurance?</v>
      </c>
      <c r="D1215" s="5"/>
      <c r="E1215" s="5"/>
      <c r="F1215" s="5"/>
      <c r="G1215" s="5"/>
      <c r="H1215" s="5"/>
      <c r="I1215" s="5"/>
      <c r="J1215" s="5"/>
      <c r="K1215" s="5"/>
      <c r="L1215" s="5"/>
      <c r="M1215" s="5"/>
      <c r="N1215" s="5"/>
      <c r="O1215" s="5"/>
      <c r="P1215" s="5"/>
      <c r="Q1215" s="5"/>
      <c r="R1215" s="5"/>
      <c r="S1215" s="5"/>
      <c r="T1215" s="5"/>
      <c r="U1215" s="5"/>
      <c r="V1215" s="5"/>
      <c r="W1215" s="5"/>
      <c r="X1215" s="5"/>
      <c r="Y1215" s="5"/>
      <c r="Z1215" s="5"/>
    </row>
    <row r="1216" spans="1:26" ht="15.6" x14ac:dyDescent="0.3">
      <c r="A1216" s="19" t="s">
        <v>5</v>
      </c>
      <c r="B1216" s="26" t="s">
        <v>1220</v>
      </c>
      <c r="C1216" s="2" t="str">
        <f ca="1">IFERROR(__xludf.DUMMYFUNCTION("GOOGLETRANSLATE(B1216, ""bn"", ""en"")"),"29 villagers were arrested and beaten and shot dead in front of their families; One survived with injuries. Before the killing, the army threatened—no freedom fighter or Hindu would be spared.")</f>
        <v>29 villagers were arrested and beaten and shot dead in front of their families; One survived with injuries. Before the killing, the army threatened—no freedom fighter or Hindu would be spared.</v>
      </c>
      <c r="D1216" s="7"/>
      <c r="E1216" s="7"/>
      <c r="F1216" s="7"/>
      <c r="G1216" s="7"/>
      <c r="H1216" s="7"/>
      <c r="I1216" s="7"/>
      <c r="J1216" s="7"/>
      <c r="K1216" s="7"/>
      <c r="L1216" s="7"/>
      <c r="M1216" s="7"/>
      <c r="N1216" s="7"/>
      <c r="O1216" s="7"/>
      <c r="P1216" s="7"/>
      <c r="Q1216" s="5"/>
      <c r="R1216" s="5"/>
      <c r="S1216" s="5"/>
      <c r="T1216" s="5"/>
      <c r="U1216" s="5"/>
      <c r="V1216" s="5"/>
      <c r="W1216" s="5"/>
      <c r="X1216" s="5"/>
      <c r="Y1216" s="5"/>
      <c r="Z1216" s="5"/>
    </row>
    <row r="1217" spans="1:26" ht="15.6" x14ac:dyDescent="0.3">
      <c r="A1217" s="18" t="s">
        <v>23</v>
      </c>
      <c r="B1217" s="25" t="s">
        <v>1221</v>
      </c>
      <c r="C1217" s="2" t="str">
        <f ca="1">IFERROR(__xludf.DUMMYFUNCTION("GOOGLETRANSLATE(B1217, ""bn"", ""en"")"),"The boy was accused of making disrespectful comments about Prophet Muhammad on social media.")</f>
        <v>The boy was accused of making disrespectful comments about Prophet Muhammad on social media.</v>
      </c>
      <c r="D1217" s="5"/>
      <c r="E1217" s="5"/>
      <c r="F1217" s="5"/>
      <c r="G1217" s="5"/>
      <c r="H1217" s="5"/>
      <c r="I1217" s="5"/>
      <c r="J1217" s="5"/>
      <c r="K1217" s="5"/>
      <c r="L1217" s="5"/>
      <c r="M1217" s="5"/>
      <c r="N1217" s="5"/>
      <c r="O1217" s="5"/>
      <c r="P1217" s="5"/>
      <c r="Q1217" s="5"/>
      <c r="R1217" s="5"/>
      <c r="S1217" s="5"/>
      <c r="T1217" s="5"/>
      <c r="U1217" s="5"/>
      <c r="V1217" s="5"/>
      <c r="W1217" s="5"/>
      <c r="X1217" s="5"/>
      <c r="Y1217" s="5"/>
      <c r="Z1217" s="5"/>
    </row>
    <row r="1218" spans="1:26" ht="15.6" x14ac:dyDescent="0.3">
      <c r="A1218" s="19" t="s">
        <v>23</v>
      </c>
      <c r="B1218" s="26" t="s">
        <v>1222</v>
      </c>
      <c r="C1218" s="2" t="str">
        <f ca="1">IFERROR(__xludf.DUMMYFUNCTION("GOOGLETRANSLATE(B1218, ""bn"", ""en"")"),"Respecting your religious sentiments, shirk is the biggest crime in our religion, but repentance can be forgiven.")</f>
        <v>Respecting your religious sentiments, shirk is the biggest crime in our religion, but repentance can be forgiven.</v>
      </c>
      <c r="D1218" s="5"/>
      <c r="E1218" s="5"/>
      <c r="F1218" s="5"/>
      <c r="G1218" s="5"/>
      <c r="H1218" s="5"/>
      <c r="I1218" s="5"/>
      <c r="J1218" s="5"/>
      <c r="K1218" s="5"/>
      <c r="L1218" s="5"/>
      <c r="M1218" s="5"/>
      <c r="N1218" s="5"/>
      <c r="O1218" s="5"/>
      <c r="P1218" s="5"/>
      <c r="Q1218" s="5"/>
      <c r="R1218" s="5"/>
      <c r="S1218" s="5"/>
      <c r="T1218" s="5"/>
      <c r="U1218" s="5"/>
      <c r="V1218" s="5"/>
      <c r="W1218" s="5"/>
      <c r="X1218" s="5"/>
      <c r="Y1218" s="5"/>
      <c r="Z1218" s="5"/>
    </row>
    <row r="1219" spans="1:26" ht="15.6" x14ac:dyDescent="0.3">
      <c r="A1219" s="18" t="s">
        <v>8</v>
      </c>
      <c r="B1219" s="25" t="s">
        <v>1223</v>
      </c>
      <c r="C1219" s="2" t="str">
        <f ca="1">IFERROR(__xludf.DUMMYFUNCTION("GOOGLETRANSLATE(B1219, ""bn"", ""en"")"),"What should be set fire to the house of the minority Hindu community? In fact, none can be truly human works Communal harmony between people of both Hindu and Muslim religions is being destroyed because of the few trouble makers.")</f>
        <v>What should be set fire to the house of the minority Hindu community? In fact, none can be truly human works Communal harmony between people of both Hindu and Muslim religions is being destroyed because of the few trouble makers.</v>
      </c>
      <c r="D1219" s="5"/>
      <c r="E1219" s="5"/>
      <c r="F1219" s="5"/>
      <c r="G1219" s="5"/>
      <c r="H1219" s="5"/>
      <c r="I1219" s="5"/>
      <c r="J1219" s="5"/>
      <c r="K1219" s="5"/>
      <c r="L1219" s="5"/>
      <c r="M1219" s="5"/>
      <c r="N1219" s="5"/>
      <c r="O1219" s="5"/>
      <c r="P1219" s="5"/>
      <c r="Q1219" s="5"/>
      <c r="R1219" s="5"/>
      <c r="S1219" s="5"/>
      <c r="T1219" s="5"/>
      <c r="U1219" s="5"/>
      <c r="V1219" s="5"/>
      <c r="W1219" s="5"/>
      <c r="X1219" s="5"/>
      <c r="Y1219" s="5"/>
      <c r="Z1219" s="5"/>
    </row>
    <row r="1220" spans="1:26" ht="15.6" x14ac:dyDescent="0.3">
      <c r="A1220" s="18" t="s">
        <v>23</v>
      </c>
      <c r="B1220" s="25" t="s">
        <v>1224</v>
      </c>
      <c r="C1220" s="2" t="str">
        <f ca="1">IFERROR(__xludf.DUMMYFUNCTION("GOOGLETRANSLATE(B1220, ""bn"", ""en"")"),"Strongly condemned and protested. Anyone who has done this will be judged by Allah. I want peace, not conflict. I want justice for those who insult the Quran.")</f>
        <v>Strongly condemned and protested. Anyone who has done this will be judged by Allah. I want peace, not conflict. I want justice for those who insult the Quran.</v>
      </c>
      <c r="D1220" s="5"/>
      <c r="E1220" s="5"/>
      <c r="F1220" s="5"/>
      <c r="G1220" s="5"/>
      <c r="H1220" s="5"/>
      <c r="I1220" s="5"/>
      <c r="J1220" s="5"/>
      <c r="K1220" s="5"/>
      <c r="L1220" s="5"/>
      <c r="M1220" s="5"/>
      <c r="N1220" s="5"/>
      <c r="O1220" s="5"/>
      <c r="P1220" s="5"/>
      <c r="Q1220" s="5"/>
      <c r="R1220" s="5"/>
      <c r="S1220" s="5"/>
      <c r="T1220" s="5"/>
      <c r="U1220" s="5"/>
      <c r="V1220" s="5"/>
      <c r="W1220" s="5"/>
      <c r="X1220" s="5"/>
      <c r="Y1220" s="5"/>
      <c r="Z1220" s="5"/>
    </row>
    <row r="1221" spans="1:26" ht="15.6" x14ac:dyDescent="0.3">
      <c r="A1221" s="18" t="s">
        <v>5</v>
      </c>
      <c r="B1221" s="24" t="s">
        <v>1225</v>
      </c>
      <c r="C1221" s="2" t="str">
        <f ca="1">IFERROR(__xludf.DUMMYFUNCTION("GOOGLETRANSLATE(B1221, ""bn"", ""en"")"),"In March 2020, a religious group banned blood donation, forcing many patients to die; At least 42 people died.")</f>
        <v>In March 2020, a religious group banned blood donation, forcing many patients to die; At least 42 people died.</v>
      </c>
      <c r="D1221" s="5"/>
      <c r="E1221" s="5"/>
      <c r="F1221" s="5"/>
      <c r="G1221" s="5"/>
      <c r="H1221" s="5"/>
      <c r="I1221" s="5"/>
      <c r="J1221" s="5"/>
      <c r="K1221" s="5"/>
      <c r="L1221" s="5"/>
      <c r="M1221" s="5"/>
      <c r="N1221" s="5"/>
      <c r="O1221" s="5"/>
      <c r="P1221" s="5"/>
      <c r="Q1221" s="5"/>
      <c r="R1221" s="5"/>
      <c r="S1221" s="5"/>
      <c r="T1221" s="5"/>
      <c r="U1221" s="5"/>
      <c r="V1221" s="5"/>
      <c r="W1221" s="5"/>
      <c r="X1221" s="5"/>
      <c r="Y1221" s="5"/>
      <c r="Z1221" s="5"/>
    </row>
    <row r="1222" spans="1:26" ht="15.6" x14ac:dyDescent="0.3">
      <c r="A1222" s="18" t="s">
        <v>23</v>
      </c>
      <c r="B1222" s="25" t="s">
        <v>1226</v>
      </c>
      <c r="C1222" s="2" t="str">
        <f ca="1">IFERROR(__xludf.DUMMYFUNCTION("GOOGLETRANSLATE(B1222, ""bn"", ""en"")"),"According to various speakers, there is instability and lack of unity in Muslim society, resulting in increasing divisions.")</f>
        <v>According to various speakers, there is instability and lack of unity in Muslim society, resulting in increasing divisions.</v>
      </c>
      <c r="D1222" s="2"/>
      <c r="E1222" s="2"/>
      <c r="F1222" s="2"/>
      <c r="G1222" s="2"/>
      <c r="H1222" s="3"/>
      <c r="I1222" s="3"/>
      <c r="J1222" s="3"/>
      <c r="K1222" s="3"/>
      <c r="L1222" s="3"/>
      <c r="M1222" s="3"/>
      <c r="N1222" s="3"/>
      <c r="O1222" s="3"/>
      <c r="P1222" s="3"/>
      <c r="Q1222" s="3"/>
      <c r="R1222" s="3"/>
      <c r="S1222" s="3"/>
      <c r="T1222" s="3"/>
      <c r="U1222" s="3"/>
      <c r="V1222" s="3"/>
      <c r="W1222" s="3"/>
      <c r="X1222" s="3"/>
      <c r="Y1222" s="3"/>
      <c r="Z1222" s="3"/>
    </row>
    <row r="1223" spans="1:26" ht="15.6" x14ac:dyDescent="0.3">
      <c r="A1223" s="18" t="s">
        <v>8</v>
      </c>
      <c r="B1223" s="25" t="s">
        <v>1227</v>
      </c>
      <c r="C1223" s="2" t="str">
        <f ca="1">IFERROR(__xludf.DUMMYFUNCTION("GOOGLETRANSLATE(B1223, ""bn"", ""en"")"),"The attack on the local Hindu community, which began last week after a Muslim holy book, the Koran, was found in a puja mandap in Comilla, Bangladesh, quickly spread to other districts.")</f>
        <v>The attack on the local Hindu community, which began last week after a Muslim holy book, the Koran, was found in a puja mandap in Comilla, Bangladesh, quickly spread to other districts.</v>
      </c>
      <c r="D1223" s="2"/>
      <c r="E1223" s="2"/>
      <c r="F1223" s="2"/>
      <c r="G1223" s="2"/>
      <c r="H1223" s="3"/>
      <c r="I1223" s="3"/>
      <c r="J1223" s="3"/>
      <c r="K1223" s="3"/>
      <c r="L1223" s="3"/>
      <c r="M1223" s="3"/>
      <c r="N1223" s="3"/>
      <c r="O1223" s="3"/>
      <c r="P1223" s="3"/>
      <c r="Q1223" s="3"/>
      <c r="R1223" s="3"/>
      <c r="S1223" s="3"/>
      <c r="T1223" s="3"/>
      <c r="U1223" s="3"/>
      <c r="V1223" s="3"/>
      <c r="W1223" s="3"/>
      <c r="X1223" s="3"/>
      <c r="Y1223" s="3"/>
      <c r="Z1223" s="3"/>
    </row>
    <row r="1224" spans="1:26" ht="15.6" x14ac:dyDescent="0.3">
      <c r="A1224" s="18" t="s">
        <v>8</v>
      </c>
      <c r="B1224" s="24" t="s">
        <v>1228</v>
      </c>
      <c r="C1224" s="2" t="str">
        <f ca="1">IFERROR(__xludf.DUMMYFUNCTION("GOOGLETRANSLATE(B1224, ""bn"", ""en"")"),"31 August 2024 Ramthakur Ashram at Ghatail, Tangail was attacked and idols and prayer seats were broken.")</f>
        <v>31 August 2024 Ramthakur Ashram at Ghatail, Tangail was attacked and idols and prayer seats were broken.</v>
      </c>
      <c r="D1224" s="5"/>
      <c r="E1224" s="5"/>
      <c r="F1224" s="5"/>
      <c r="G1224" s="5"/>
      <c r="H1224" s="5"/>
      <c r="I1224" s="5"/>
      <c r="J1224" s="5"/>
      <c r="K1224" s="5"/>
      <c r="L1224" s="5"/>
      <c r="M1224" s="5"/>
      <c r="N1224" s="5"/>
      <c r="O1224" s="5"/>
      <c r="P1224" s="5"/>
      <c r="Q1224" s="5"/>
      <c r="R1224" s="5"/>
      <c r="S1224" s="5"/>
      <c r="T1224" s="5"/>
      <c r="U1224" s="5"/>
      <c r="V1224" s="5"/>
      <c r="W1224" s="5"/>
      <c r="X1224" s="5"/>
      <c r="Y1224" s="5"/>
      <c r="Z1224" s="5"/>
    </row>
    <row r="1225" spans="1:26" ht="15.6" x14ac:dyDescent="0.3">
      <c r="A1225" s="18" t="s">
        <v>8</v>
      </c>
      <c r="B1225" s="25" t="s">
        <v>1229</v>
      </c>
      <c r="C1225" s="2" t="str">
        <f ca="1">IFERROR(__xludf.DUMMYFUNCTION("GOOGLETRANSLATE(B1225, ""bn"", ""en"")"),"The Khulna district government excused the demolition of the temples by saying that the temples were built ""illegally"". But several of the demolished temples were centuries old.")</f>
        <v>The Khulna district government excused the demolition of the temples by saying that the temples were built "illegally". But several of the demolished temples were centuries old.</v>
      </c>
      <c r="D1225" s="2"/>
      <c r="E1225" s="2"/>
      <c r="F1225" s="2"/>
      <c r="G1225" s="2"/>
      <c r="H1225" s="5"/>
      <c r="I1225" s="5"/>
      <c r="J1225" s="5"/>
      <c r="K1225" s="5"/>
      <c r="L1225" s="5"/>
      <c r="M1225" s="5"/>
      <c r="N1225" s="5"/>
      <c r="O1225" s="5"/>
      <c r="P1225" s="5"/>
      <c r="Q1225" s="5"/>
      <c r="R1225" s="5"/>
      <c r="S1225" s="5"/>
      <c r="T1225" s="5"/>
      <c r="U1225" s="5"/>
      <c r="V1225" s="5"/>
      <c r="W1225" s="5"/>
      <c r="X1225" s="5"/>
      <c r="Y1225" s="5"/>
      <c r="Z1225" s="5"/>
    </row>
    <row r="1226" spans="1:26" ht="15.6" x14ac:dyDescent="0.3">
      <c r="A1226" s="18" t="s">
        <v>3</v>
      </c>
      <c r="B1226" s="25" t="s">
        <v>1230</v>
      </c>
      <c r="C1226" s="2" t="str">
        <f ca="1">IFERROR(__xludf.DUMMYFUNCTION("GOOGLETRANSLATE(B1226, ""bn"", ""en"")"),"Insulting any religion should be severely punished.")</f>
        <v>Insulting any religion should be severely punished.</v>
      </c>
      <c r="D1226" s="6"/>
      <c r="E1226" s="6"/>
      <c r="F1226" s="6"/>
      <c r="G1226" s="2"/>
      <c r="H1226" s="3"/>
      <c r="I1226" s="3"/>
      <c r="J1226" s="3"/>
      <c r="K1226" s="3"/>
      <c r="L1226" s="3"/>
      <c r="M1226" s="3"/>
      <c r="N1226" s="3"/>
      <c r="O1226" s="3"/>
      <c r="P1226" s="3"/>
      <c r="Q1226" s="3"/>
      <c r="R1226" s="3"/>
      <c r="S1226" s="3"/>
      <c r="T1226" s="3"/>
      <c r="U1226" s="3"/>
      <c r="V1226" s="3"/>
      <c r="W1226" s="3"/>
      <c r="X1226" s="3"/>
      <c r="Y1226" s="3"/>
      <c r="Z1226" s="3"/>
    </row>
    <row r="1227" spans="1:26" ht="15.6" x14ac:dyDescent="0.3">
      <c r="A1227" s="18" t="s">
        <v>3</v>
      </c>
      <c r="B1227" s="25" t="s">
        <v>1231</v>
      </c>
      <c r="C1227" s="2" t="str">
        <f ca="1">IFERROR(__xludf.DUMMYFUNCTION("GOOGLETRANSLATE(B1227, ""bn"", ""en"")"),"He who knows that I have no birth, that I am eternal and the Lord of all peoples, becomes disillusioned and freed from all sins. """)</f>
        <v>He who knows that I have no birth, that I am eternal and the Lord of all peoples, becomes disillusioned and freed from all sins. "</v>
      </c>
      <c r="D1227" s="5"/>
      <c r="E1227" s="5"/>
      <c r="F1227" s="5"/>
      <c r="G1227" s="5"/>
      <c r="H1227" s="5"/>
      <c r="I1227" s="5"/>
      <c r="J1227" s="5"/>
      <c r="K1227" s="5"/>
      <c r="L1227" s="5"/>
      <c r="M1227" s="5"/>
      <c r="N1227" s="5"/>
      <c r="O1227" s="5"/>
      <c r="P1227" s="5"/>
      <c r="Q1227" s="5"/>
      <c r="R1227" s="5"/>
      <c r="S1227" s="5"/>
      <c r="T1227" s="5"/>
      <c r="U1227" s="5"/>
      <c r="V1227" s="5"/>
      <c r="W1227" s="5"/>
      <c r="X1227" s="5"/>
      <c r="Y1227" s="5"/>
      <c r="Z1227" s="5"/>
    </row>
    <row r="1228" spans="1:26" ht="15.6" x14ac:dyDescent="0.3">
      <c r="A1228" s="19" t="s">
        <v>3</v>
      </c>
      <c r="B1228" s="26" t="s">
        <v>1232</v>
      </c>
      <c r="C1228" s="2" t="str">
        <f ca="1">IFERROR(__xludf.DUMMYFUNCTION("GOOGLETRANSLATE(B1228, ""bn"", ""en"")"),"Bathing the dead is obligatory. Those who know how to bathe the dead person according to the Shari'i method i.e. according to the established rules of Islam, will take the responsibility of bathing the dead.")</f>
        <v>Bathing the dead is obligatory. Those who know how to bathe the dead person according to the Shari'i method i.e. according to the established rules of Islam, will take the responsibility of bathing the dead.</v>
      </c>
      <c r="D1228" s="5"/>
      <c r="E1228" s="5"/>
      <c r="F1228" s="5"/>
      <c r="G1228" s="5"/>
      <c r="H1228" s="5"/>
      <c r="I1228" s="5"/>
      <c r="J1228" s="5"/>
      <c r="K1228" s="5"/>
      <c r="L1228" s="5"/>
      <c r="M1228" s="5"/>
      <c r="N1228" s="5"/>
      <c r="O1228" s="5"/>
      <c r="P1228" s="5"/>
      <c r="Q1228" s="5"/>
      <c r="R1228" s="5"/>
      <c r="S1228" s="5"/>
      <c r="T1228" s="5"/>
      <c r="U1228" s="5"/>
      <c r="V1228" s="5"/>
      <c r="W1228" s="5"/>
      <c r="X1228" s="5"/>
      <c r="Y1228" s="5"/>
      <c r="Z1228" s="5"/>
    </row>
    <row r="1229" spans="1:26" ht="15.6" x14ac:dyDescent="0.3">
      <c r="A1229" s="18" t="s">
        <v>23</v>
      </c>
      <c r="B1229" s="25" t="s">
        <v>1233</v>
      </c>
      <c r="C1229" s="2" t="str">
        <f ca="1">IFERROR(__xludf.DUMMYFUNCTION("GOOGLETRANSLATE(B1229, ""bn"", ""en"")"),"Calling for direct struggle, pro-Jamaat-Shibir leaders declared that they ""want an Islamic Bangladesh, or accept a chaotic Bangladesh."" Their radical ideology led to divisions, violence and communal tensions across the country.")</f>
        <v>Calling for direct struggle, pro-Jamaat-Shibir leaders declared that they "want an Islamic Bangladesh, or accept a chaotic Bangladesh." Their radical ideology led to divisions, violence and communal tensions across the country.</v>
      </c>
      <c r="D1229" s="6"/>
      <c r="E1229" s="6"/>
      <c r="F1229" s="6"/>
      <c r="G1229" s="6"/>
      <c r="H1229" s="5"/>
      <c r="I1229" s="5"/>
      <c r="J1229" s="5"/>
      <c r="K1229" s="5"/>
      <c r="L1229" s="5"/>
      <c r="M1229" s="5"/>
      <c r="N1229" s="5"/>
      <c r="O1229" s="5"/>
      <c r="P1229" s="5"/>
      <c r="Q1229" s="5"/>
      <c r="R1229" s="5"/>
      <c r="S1229" s="5"/>
      <c r="T1229" s="5"/>
      <c r="U1229" s="5"/>
      <c r="V1229" s="5"/>
      <c r="W1229" s="5"/>
      <c r="X1229" s="5"/>
      <c r="Y1229" s="5"/>
      <c r="Z1229" s="5"/>
    </row>
    <row r="1230" spans="1:26" ht="15.6" x14ac:dyDescent="0.3">
      <c r="A1230" s="18" t="s">
        <v>3</v>
      </c>
      <c r="B1230" s="25" t="s">
        <v>1234</v>
      </c>
      <c r="C1230" s="2" t="str">
        <f ca="1">IFERROR(__xludf.DUMMYFUNCTION("GOOGLETRANSLATE(B1230, ""bn"", ""en"")"),"Religion teaches respect to all religions. Whoever goes against it will be punished! And standing against it as a Muslim is the biggest responsibility of our life.")</f>
        <v>Religion teaches respect to all religions. Whoever goes against it will be punished! And standing against it as a Muslim is the biggest responsibility of our life.</v>
      </c>
      <c r="D1230" s="5"/>
      <c r="E1230" s="5"/>
      <c r="F1230" s="5"/>
      <c r="G1230" s="5"/>
      <c r="H1230" s="5"/>
      <c r="I1230" s="5"/>
      <c r="J1230" s="5"/>
      <c r="K1230" s="5"/>
      <c r="L1230" s="5"/>
      <c r="M1230" s="5"/>
      <c r="N1230" s="5"/>
      <c r="O1230" s="5"/>
      <c r="P1230" s="5"/>
      <c r="Q1230" s="5"/>
      <c r="R1230" s="5"/>
      <c r="S1230" s="5"/>
      <c r="T1230" s="5"/>
      <c r="U1230" s="5"/>
      <c r="V1230" s="5"/>
      <c r="W1230" s="5"/>
      <c r="X1230" s="5"/>
      <c r="Y1230" s="5"/>
      <c r="Z1230" s="5"/>
    </row>
    <row r="1231" spans="1:26" ht="15.6" x14ac:dyDescent="0.3">
      <c r="A1231" s="18" t="s">
        <v>3</v>
      </c>
      <c r="B1231" s="25" t="s">
        <v>1235</v>
      </c>
      <c r="C1231" s="2" t="str">
        <f ca="1">IFERROR(__xludf.DUMMYFUNCTION("GOOGLETRANSLATE(B1231, ""bn"", ""en"")"),"We are the Gaudiya Brahma Madhav community. The philosophy of ISKCON is that we spread the Vaishnava doctrine of this Bengal, that is, the Vaishnava style of the Gaur region, to the world.")</f>
        <v>We are the Gaudiya Brahma Madhav community. The philosophy of ISKCON is that we spread the Vaishnava doctrine of this Bengal, that is, the Vaishnava style of the Gaur region, to the world.</v>
      </c>
      <c r="D1231" s="5"/>
      <c r="E1231" s="5"/>
      <c r="F1231" s="5"/>
      <c r="G1231" s="5"/>
      <c r="H1231" s="5"/>
      <c r="I1231" s="5"/>
      <c r="J1231" s="5"/>
      <c r="K1231" s="5"/>
      <c r="L1231" s="5"/>
      <c r="M1231" s="5"/>
      <c r="N1231" s="5"/>
      <c r="O1231" s="5"/>
      <c r="P1231" s="5"/>
      <c r="Q1231" s="5"/>
      <c r="R1231" s="5"/>
      <c r="S1231" s="5"/>
      <c r="T1231" s="5"/>
      <c r="U1231" s="5"/>
      <c r="V1231" s="5"/>
      <c r="W1231" s="5"/>
      <c r="X1231" s="5"/>
      <c r="Y1231" s="5"/>
      <c r="Z1231" s="5"/>
    </row>
    <row r="1232" spans="1:26" ht="15.6" x14ac:dyDescent="0.3">
      <c r="A1232" s="18" t="s">
        <v>3</v>
      </c>
      <c r="B1232" s="25" t="s">
        <v>1236</v>
      </c>
      <c r="C1232" s="2" t="str">
        <f ca="1">IFERROR(__xludf.DUMMYFUNCTION("GOOGLETRANSLATE(B1232, ""bn"", ""en"")"),"The contribution of Muslims in history is proud. They have worked for peace and development for centuries and also played an important role in freedom struggle with religious values.")</f>
        <v>The contribution of Muslims in history is proud. They have worked for peace and development for centuries and also played an important role in freedom struggle with religious values.</v>
      </c>
      <c r="D1232" s="5"/>
      <c r="E1232" s="5"/>
      <c r="F1232" s="5"/>
      <c r="G1232" s="5"/>
      <c r="H1232" s="5"/>
      <c r="I1232" s="5"/>
      <c r="J1232" s="5"/>
      <c r="K1232" s="5"/>
      <c r="L1232" s="5"/>
      <c r="M1232" s="5"/>
      <c r="N1232" s="5"/>
      <c r="O1232" s="5"/>
      <c r="P1232" s="5"/>
      <c r="Q1232" s="5"/>
      <c r="R1232" s="5"/>
      <c r="S1232" s="5"/>
      <c r="T1232" s="5"/>
      <c r="U1232" s="5"/>
      <c r="V1232" s="5"/>
      <c r="W1232" s="5"/>
      <c r="X1232" s="5"/>
      <c r="Y1232" s="5"/>
      <c r="Z1232" s="5"/>
    </row>
    <row r="1233" spans="1:26" ht="15.6" x14ac:dyDescent="0.3">
      <c r="A1233" s="18" t="s">
        <v>5</v>
      </c>
      <c r="B1233" s="24" t="s">
        <v>1237</v>
      </c>
      <c r="C1233" s="2" t="str">
        <f ca="1">IFERROR(__xludf.DUMMYFUNCTION("GOOGLETRANSLATE(B1233, ""bn"", ""en"")"),"Religious riots brutally killed the disabled and the elderly, who could not even defend themselves; The death toll is 41.")</f>
        <v>Religious riots brutally killed the disabled and the elderly, who could not even defend themselves; The death toll is 41.</v>
      </c>
      <c r="D1233" s="5"/>
      <c r="E1233" s="5"/>
      <c r="F1233" s="5"/>
      <c r="G1233" s="5"/>
      <c r="H1233" s="5"/>
      <c r="I1233" s="5"/>
      <c r="J1233" s="5"/>
      <c r="K1233" s="5"/>
      <c r="L1233" s="5"/>
      <c r="M1233" s="5"/>
      <c r="N1233" s="5"/>
      <c r="O1233" s="5"/>
      <c r="P1233" s="5"/>
      <c r="Q1233" s="5"/>
      <c r="R1233" s="5"/>
      <c r="S1233" s="5"/>
      <c r="T1233" s="5"/>
      <c r="U1233" s="5"/>
      <c r="V1233" s="5"/>
      <c r="W1233" s="5"/>
      <c r="X1233" s="5"/>
      <c r="Y1233" s="5"/>
      <c r="Z1233" s="5"/>
    </row>
    <row r="1234" spans="1:26" ht="15.6" x14ac:dyDescent="0.3">
      <c r="A1234" s="18" t="s">
        <v>3</v>
      </c>
      <c r="B1234" s="25" t="s">
        <v>1238</v>
      </c>
      <c r="C1234" s="2" t="str">
        <f ca="1">IFERROR(__xludf.DUMMYFUNCTION("GOOGLETRANSLATE(B1234, ""bn"", ""en"")"),"Religion is the place of highest human emotion. Which is the highest place of faith of people. Those who are playing with this faith are inhumane.")</f>
        <v>Religion is the place of highest human emotion. Which is the highest place of faith of people. Those who are playing with this faith are inhumane.</v>
      </c>
      <c r="D1234" s="2"/>
      <c r="E1234" s="2"/>
      <c r="F1234" s="2"/>
      <c r="G1234" s="2"/>
      <c r="H1234" s="3"/>
      <c r="I1234" s="3"/>
      <c r="J1234" s="3"/>
      <c r="K1234" s="3"/>
      <c r="L1234" s="3"/>
      <c r="M1234" s="3"/>
      <c r="N1234" s="3"/>
      <c r="O1234" s="3"/>
      <c r="P1234" s="3"/>
      <c r="Q1234" s="3"/>
      <c r="R1234" s="3"/>
      <c r="S1234" s="3"/>
      <c r="T1234" s="3"/>
      <c r="U1234" s="3"/>
      <c r="V1234" s="3"/>
      <c r="W1234" s="3"/>
      <c r="X1234" s="3"/>
      <c r="Y1234" s="3"/>
      <c r="Z1234" s="3"/>
    </row>
    <row r="1235" spans="1:26" ht="15.6" x14ac:dyDescent="0.3">
      <c r="A1235" s="18" t="s">
        <v>5</v>
      </c>
      <c r="B1235" s="25" t="s">
        <v>1239</v>
      </c>
      <c r="C1235" s="2" t="str">
        <f ca="1">IFERROR(__xludf.DUMMYFUNCTION("GOOGLETRANSLATE(B1235, ""bn"", ""en"")"),"They killed four other male members of the house in the same way and cheered. [16] They ransacked the famous Das studio in Nawabpur and set it on fire. On the night of 15 January, Muslims attacked every Hindu house in Nagarkhanpur in a similar fashion and"&amp;" destroyed them after looting. [17] On 15 January, Muslims attacked the Ramakrishna Mission of Tikatuli in broad daylight.")</f>
        <v>They killed four other male members of the house in the same way and cheered. [16] They ransacked the famous Das studio in Nawabpur and set it on fire. On the night of 15 January, Muslims attacked every Hindu house in Nagarkhanpur in a similar fashion and destroyed them after looting. [17] On 15 January, Muslims attacked the Ramakrishna Mission of Tikatuli in broad daylight.</v>
      </c>
      <c r="D1235" s="2"/>
      <c r="E1235" s="2"/>
      <c r="F1235" s="2"/>
      <c r="G1235" s="2"/>
      <c r="H1235" s="3"/>
      <c r="I1235" s="3"/>
      <c r="J1235" s="3"/>
      <c r="K1235" s="3"/>
      <c r="L1235" s="3"/>
      <c r="M1235" s="3"/>
      <c r="N1235" s="3"/>
      <c r="O1235" s="3"/>
      <c r="P1235" s="3"/>
      <c r="Q1235" s="3"/>
      <c r="R1235" s="3"/>
      <c r="S1235" s="3"/>
      <c r="T1235" s="3"/>
      <c r="U1235" s="3"/>
      <c r="V1235" s="3"/>
      <c r="W1235" s="3"/>
      <c r="X1235" s="3"/>
      <c r="Y1235" s="3"/>
      <c r="Z1235" s="3"/>
    </row>
    <row r="1236" spans="1:26" ht="15.6" x14ac:dyDescent="0.3">
      <c r="A1236" s="19" t="s">
        <v>23</v>
      </c>
      <c r="B1236" s="26" t="s">
        <v>1240</v>
      </c>
      <c r="C1236" s="2" t="str">
        <f ca="1">IFERROR(__xludf.DUMMYFUNCTION("GOOGLETRANSLATE(B1236, ""bn"", ""en"")"),"Islam has not taught us to shame anyone. Even though she is a woman, she should have been respected.")</f>
        <v>Islam has not taught us to shame anyone. Even though she is a woman, she should have been respected.</v>
      </c>
      <c r="D1236" s="5"/>
      <c r="E1236" s="5"/>
      <c r="F1236" s="5"/>
      <c r="G1236" s="5"/>
      <c r="H1236" s="5"/>
      <c r="I1236" s="5"/>
      <c r="J1236" s="5"/>
      <c r="K1236" s="5"/>
      <c r="L1236" s="5"/>
      <c r="M1236" s="5"/>
      <c r="N1236" s="5"/>
      <c r="O1236" s="5"/>
      <c r="P1236" s="5"/>
      <c r="Q1236" s="5"/>
      <c r="R1236" s="5"/>
      <c r="S1236" s="5"/>
      <c r="T1236" s="5"/>
      <c r="U1236" s="5"/>
      <c r="V1236" s="5"/>
      <c r="W1236" s="5"/>
      <c r="X1236" s="5"/>
      <c r="Y1236" s="5"/>
      <c r="Z1236" s="5"/>
    </row>
    <row r="1237" spans="1:26" ht="15.6" x14ac:dyDescent="0.3">
      <c r="A1237" s="18" t="s">
        <v>8</v>
      </c>
      <c r="B1237" s="25" t="s">
        <v>1241</v>
      </c>
      <c r="C1237" s="2" t="str">
        <f ca="1">IFERROR(__xludf.DUMMYFUNCTION("GOOGLETRANSLATE(B1237, ""bn"", ""en"")"),"Gold ornaments were stolen from two Hindu temples in Satdoha area of ​​Magura Sadar Upazila on January 10 in Magura district.[7][17] Miscreants vandalized two temples of Sri Sri Nengta Baba's ashram, and cash from the donation box. By stealing, stealing g"&amp;"old and silver valuables.")</f>
        <v>Gold ornaments were stolen from two Hindu temples in Satdoha area of ​​Magura Sadar Upazila on January 10 in Magura district.[7][17] Miscreants vandalized two temples of Sri Sri Nengta Baba's ashram, and cash from the donation box. By stealing, stealing gold and silver valuables.</v>
      </c>
      <c r="D1237" s="2"/>
      <c r="E1237" s="2"/>
      <c r="F1237" s="2"/>
      <c r="G1237" s="2"/>
      <c r="H1237" s="3"/>
      <c r="I1237" s="3"/>
      <c r="J1237" s="3"/>
      <c r="K1237" s="3"/>
      <c r="L1237" s="3"/>
      <c r="M1237" s="3"/>
      <c r="N1237" s="3"/>
      <c r="O1237" s="3"/>
      <c r="P1237" s="3"/>
      <c r="Q1237" s="3"/>
      <c r="R1237" s="3"/>
      <c r="S1237" s="3"/>
      <c r="T1237" s="3"/>
      <c r="U1237" s="3"/>
      <c r="V1237" s="3"/>
      <c r="W1237" s="3"/>
      <c r="X1237" s="3"/>
      <c r="Y1237" s="3"/>
      <c r="Z1237" s="3"/>
    </row>
    <row r="1238" spans="1:26" ht="15.6" x14ac:dyDescent="0.3">
      <c r="A1238" s="19" t="s">
        <v>23</v>
      </c>
      <c r="B1238" s="26" t="s">
        <v>1242</v>
      </c>
      <c r="C1238" s="2" t="str">
        <f ca="1">IFERROR(__xludf.DUMMYFUNCTION("GOOGLETRANSLATE(B1238, ""bn"", ""en"")"),"Whoever opposes the Messenger after receiving guidance and does not follow the path of the believers, he will be sent back to Hell, the abode of Hell.")</f>
        <v>Whoever opposes the Messenger after receiving guidance and does not follow the path of the believers, he will be sent back to Hell, the abode of Hell.</v>
      </c>
      <c r="D1238" s="7"/>
      <c r="E1238" s="7"/>
      <c r="F1238" s="7"/>
      <c r="G1238" s="7"/>
      <c r="H1238" s="7"/>
      <c r="I1238" s="5"/>
      <c r="J1238" s="5"/>
      <c r="K1238" s="5"/>
      <c r="L1238" s="5"/>
      <c r="M1238" s="5"/>
      <c r="N1238" s="5"/>
      <c r="O1238" s="5"/>
      <c r="P1238" s="5"/>
      <c r="Q1238" s="5"/>
      <c r="R1238" s="5"/>
      <c r="S1238" s="5"/>
      <c r="T1238" s="5"/>
      <c r="U1238" s="5"/>
      <c r="V1238" s="5"/>
      <c r="W1238" s="5"/>
      <c r="X1238" s="5"/>
      <c r="Y1238" s="5"/>
      <c r="Z1238" s="5"/>
    </row>
    <row r="1239" spans="1:26" ht="15.6" x14ac:dyDescent="0.3">
      <c r="A1239" s="18" t="s">
        <v>5</v>
      </c>
      <c r="B1239" s="24" t="s">
        <v>1243</v>
      </c>
      <c r="C1239" s="2" t="str">
        <f ca="1">IFERROR(__xludf.DUMMYFUNCTION("GOOGLETRANSLATE(B1239, ""bn"", ""en"")"),"In August 2018, a mosque fire caused by a gas leak killed 31 people; Many people became homeless in this incident.")</f>
        <v>In August 2018, a mosque fire caused by a gas leak killed 31 people; Many people became homeless in this incident.</v>
      </c>
      <c r="D1239" s="5"/>
      <c r="E1239" s="5"/>
      <c r="F1239" s="5"/>
      <c r="G1239" s="5"/>
      <c r="H1239" s="5"/>
      <c r="I1239" s="5"/>
      <c r="J1239" s="5"/>
      <c r="K1239" s="5"/>
      <c r="L1239" s="5"/>
      <c r="M1239" s="5"/>
      <c r="N1239" s="5"/>
      <c r="O1239" s="5"/>
      <c r="P1239" s="5"/>
      <c r="Q1239" s="5"/>
      <c r="R1239" s="5"/>
      <c r="S1239" s="5"/>
      <c r="T1239" s="5"/>
      <c r="U1239" s="5"/>
      <c r="V1239" s="5"/>
      <c r="W1239" s="5"/>
      <c r="X1239" s="5"/>
      <c r="Y1239" s="5"/>
      <c r="Z1239" s="5"/>
    </row>
    <row r="1240" spans="1:26" ht="15.6" x14ac:dyDescent="0.3">
      <c r="A1240" s="18" t="s">
        <v>5</v>
      </c>
      <c r="B1240" s="24" t="s">
        <v>1244</v>
      </c>
      <c r="C1240" s="2" t="str">
        <f ca="1">IFERROR(__xludf.DUMMYFUNCTION("GOOGLETRANSLATE(B1240, ""bn"", ""en"")"),"Nineteen people lost their lives after a group attacked religious book distributors.")</f>
        <v>Nineteen people lost their lives after a group attacked religious book distributors.</v>
      </c>
      <c r="D1240" s="5"/>
      <c r="E1240" s="5"/>
      <c r="F1240" s="5"/>
      <c r="G1240" s="5"/>
      <c r="H1240" s="5"/>
      <c r="I1240" s="5"/>
      <c r="J1240" s="5"/>
      <c r="K1240" s="5"/>
      <c r="L1240" s="5"/>
      <c r="M1240" s="5"/>
      <c r="N1240" s="5"/>
      <c r="O1240" s="5"/>
      <c r="P1240" s="5"/>
      <c r="Q1240" s="5"/>
      <c r="R1240" s="5"/>
      <c r="S1240" s="5"/>
      <c r="T1240" s="5"/>
      <c r="U1240" s="5"/>
      <c r="V1240" s="5"/>
      <c r="W1240" s="5"/>
      <c r="X1240" s="5"/>
      <c r="Y1240" s="5"/>
      <c r="Z1240" s="5"/>
    </row>
    <row r="1241" spans="1:26" ht="15.6" x14ac:dyDescent="0.3">
      <c r="A1241" s="19" t="s">
        <v>5</v>
      </c>
      <c r="B1241" s="26" t="s">
        <v>1245</v>
      </c>
      <c r="C1241" s="2" t="str">
        <f ca="1">IFERROR(__xludf.DUMMYFUNCTION("GOOGLETRANSLATE(B1241, ""bn"", ""en"")"),"Imam Sader's brother Shadab Anwar saw his brother's dead body during Hindu-Muslim clashes in Nooh and Gurgaon. Several people have been arrested on charges of attacking the mosque. The situation is still heated.")</f>
        <v>Imam Sader's brother Shadab Anwar saw his brother's dead body during Hindu-Muslim clashes in Nooh and Gurgaon. Several people have been arrested on charges of attacking the mosque. The situation is still heated.</v>
      </c>
      <c r="D1241" s="7"/>
      <c r="E1241" s="7"/>
      <c r="F1241" s="7"/>
      <c r="G1241" s="7"/>
      <c r="H1241" s="7"/>
      <c r="I1241" s="7"/>
      <c r="J1241" s="7"/>
      <c r="K1241" s="7"/>
      <c r="L1241" s="7"/>
      <c r="M1241" s="7"/>
      <c r="N1241" s="7"/>
      <c r="O1241" s="5"/>
      <c r="P1241" s="5"/>
      <c r="Q1241" s="5"/>
      <c r="R1241" s="5"/>
      <c r="S1241" s="5"/>
      <c r="T1241" s="5"/>
      <c r="U1241" s="5"/>
      <c r="V1241" s="5"/>
      <c r="W1241" s="5"/>
      <c r="X1241" s="5"/>
      <c r="Y1241" s="5"/>
      <c r="Z1241" s="5"/>
    </row>
    <row r="1242" spans="1:26" ht="15.6" x14ac:dyDescent="0.3">
      <c r="A1242" s="18" t="s">
        <v>5</v>
      </c>
      <c r="B1242" s="24" t="s">
        <v>1246</v>
      </c>
      <c r="C1242" s="2" t="str">
        <f ca="1">IFERROR(__xludf.DUMMYFUNCTION("GOOGLETRANSLATE(B1242, ""bn"", ""en"")"),"37 people were killed when a market was set on fire in a religious riot.")</f>
        <v>37 people were killed when a market was set on fire in a religious riot.</v>
      </c>
      <c r="D1242" s="5"/>
      <c r="E1242" s="5"/>
      <c r="F1242" s="5"/>
      <c r="G1242" s="5"/>
      <c r="H1242" s="5"/>
      <c r="I1242" s="5"/>
      <c r="J1242" s="5"/>
      <c r="K1242" s="5"/>
      <c r="L1242" s="5"/>
      <c r="M1242" s="5"/>
      <c r="N1242" s="5"/>
      <c r="O1242" s="5"/>
      <c r="P1242" s="5"/>
      <c r="Q1242" s="5"/>
      <c r="R1242" s="5"/>
      <c r="S1242" s="5"/>
      <c r="T1242" s="5"/>
      <c r="U1242" s="5"/>
      <c r="V1242" s="5"/>
      <c r="W1242" s="5"/>
      <c r="X1242" s="5"/>
      <c r="Y1242" s="5"/>
      <c r="Z1242" s="5"/>
    </row>
    <row r="1243" spans="1:26" ht="15.6" x14ac:dyDescent="0.3">
      <c r="A1243" s="19" t="s">
        <v>8</v>
      </c>
      <c r="B1243" s="26" t="s">
        <v>1247</v>
      </c>
      <c r="C1243" s="2" t="str">
        <f ca="1">IFERROR(__xludf.DUMMYFUNCTION("GOOGLETRANSLATE(B1243, ""bn"", ""en"")"),"The male members of the family were killed and the women were distributed to different people by the clerics and mentors of the area. The women of the Muslim family also equally helped the male members to rape and hide these unfortunate Hindu girls.")</f>
        <v>The male members of the family were killed and the women were distributed to different people by the clerics and mentors of the area. The women of the Muslim family also equally helped the male members to rape and hide these unfortunate Hindu girls.</v>
      </c>
      <c r="D1243" s="7"/>
      <c r="E1243" s="7"/>
      <c r="F1243" s="5"/>
      <c r="G1243" s="5"/>
      <c r="H1243" s="5"/>
      <c r="I1243" s="5"/>
      <c r="J1243" s="5"/>
      <c r="K1243" s="5"/>
      <c r="L1243" s="5"/>
      <c r="M1243" s="5"/>
      <c r="N1243" s="5"/>
      <c r="O1243" s="5"/>
      <c r="P1243" s="5"/>
      <c r="Q1243" s="5"/>
      <c r="R1243" s="5"/>
      <c r="S1243" s="5"/>
      <c r="T1243" s="5"/>
      <c r="U1243" s="5"/>
      <c r="V1243" s="5"/>
      <c r="W1243" s="5"/>
      <c r="X1243" s="5"/>
      <c r="Y1243" s="5"/>
      <c r="Z1243" s="5"/>
    </row>
    <row r="1244" spans="1:26" ht="15.6" x14ac:dyDescent="0.3">
      <c r="A1244" s="18" t="s">
        <v>3</v>
      </c>
      <c r="B1244" s="24" t="s">
        <v>1248</v>
      </c>
      <c r="C1244" s="2" t="str">
        <f ca="1">IFERROR(__xludf.DUMMYFUNCTION("GOOGLETRANSLATE(B1244, ""bn"", ""en"")"),"I have seen Muslim and Hindu families together in our neighborhood exchanging sweets and greetings during Eid and Durga Puja. This is an example of true harmony.")</f>
        <v>I have seen Muslim and Hindu families together in our neighborhood exchanging sweets and greetings during Eid and Durga Puja. This is an example of true harmony.</v>
      </c>
      <c r="D1244" s="3"/>
      <c r="E1244" s="5"/>
      <c r="F1244" s="5"/>
      <c r="G1244" s="5"/>
      <c r="H1244" s="5"/>
      <c r="I1244" s="5"/>
      <c r="J1244" s="5"/>
      <c r="K1244" s="5"/>
      <c r="L1244" s="5"/>
      <c r="M1244" s="5"/>
      <c r="N1244" s="5"/>
      <c r="O1244" s="5"/>
      <c r="P1244" s="5"/>
      <c r="Q1244" s="5"/>
      <c r="R1244" s="5"/>
      <c r="S1244" s="5"/>
      <c r="T1244" s="5"/>
      <c r="U1244" s="5"/>
      <c r="V1244" s="5"/>
      <c r="W1244" s="5"/>
      <c r="X1244" s="5"/>
      <c r="Y1244" s="5"/>
      <c r="Z1244" s="5"/>
    </row>
    <row r="1245" spans="1:26" ht="15.6" x14ac:dyDescent="0.3">
      <c r="A1245" s="18" t="s">
        <v>8</v>
      </c>
      <c r="B1245" s="25" t="s">
        <v>1249</v>
      </c>
      <c r="C1245" s="2" t="str">
        <f ca="1">IFERROR(__xludf.DUMMYFUNCTION("GOOGLETRANSLATE(B1245, ""bn"", ""en"")"),"On the morning of Saturday 18th February, many Hindus and Christians returned to their looted, destroyed and burnt homes. In the evening, they gathered again at the police station. This time they were allowed inside in exchange for cash and jewellery. In "&amp;"the meantime, the Ansar announced on loudspeakers in Muladi asking the Hindus to gather at the Muladi police station.")</f>
        <v>On the morning of Saturday 18th February, many Hindus and Christians returned to their looted, destroyed and burnt homes. In the evening, they gathered again at the police station. This time they were allowed inside in exchange for cash and jewellery. In the meantime, the Ansar announced on loudspeakers in Muladi asking the Hindus to gather at the Muladi police station.</v>
      </c>
      <c r="D1245" s="5"/>
      <c r="E1245" s="5"/>
      <c r="F1245" s="5"/>
      <c r="G1245" s="5"/>
      <c r="H1245" s="5"/>
      <c r="I1245" s="5"/>
      <c r="J1245" s="5"/>
      <c r="K1245" s="5"/>
      <c r="L1245" s="5"/>
      <c r="M1245" s="5"/>
      <c r="N1245" s="5"/>
      <c r="O1245" s="5"/>
      <c r="P1245" s="5"/>
      <c r="Q1245" s="5"/>
      <c r="R1245" s="5"/>
      <c r="S1245" s="5"/>
      <c r="T1245" s="5"/>
      <c r="U1245" s="5"/>
      <c r="V1245" s="5"/>
      <c r="W1245" s="5"/>
      <c r="X1245" s="5"/>
      <c r="Y1245" s="5"/>
      <c r="Z1245" s="5"/>
    </row>
    <row r="1246" spans="1:26" ht="15.6" x14ac:dyDescent="0.3">
      <c r="A1246" s="18" t="s">
        <v>3</v>
      </c>
      <c r="B1246" s="25" t="s">
        <v>1250</v>
      </c>
      <c r="C1246" s="2" t="str">
        <f ca="1">IFERROR(__xludf.DUMMYFUNCTION("GOOGLETRANSLATE(B1246, ""bn"", ""en"")"),"In search of how religion emerged in the politics of West Bengal, on the morning of Ramnavami on April 13, I saw BJP candidates marching in various places in Kolkata, which is a reflection of various political and cultural practices.")</f>
        <v>In search of how religion emerged in the politics of West Bengal, on the morning of Ramnavami on April 13, I saw BJP candidates marching in various places in Kolkata, which is a reflection of various political and cultural practices.</v>
      </c>
      <c r="D1246" s="5"/>
      <c r="E1246" s="5"/>
      <c r="F1246" s="5"/>
      <c r="G1246" s="5"/>
      <c r="H1246" s="5"/>
      <c r="I1246" s="5"/>
      <c r="J1246" s="5"/>
      <c r="K1246" s="5"/>
      <c r="L1246" s="5"/>
      <c r="M1246" s="5"/>
      <c r="N1246" s="5"/>
      <c r="O1246" s="5"/>
      <c r="P1246" s="5"/>
      <c r="Q1246" s="5"/>
      <c r="R1246" s="5"/>
      <c r="S1246" s="5"/>
      <c r="T1246" s="5"/>
      <c r="U1246" s="5"/>
      <c r="V1246" s="5"/>
      <c r="W1246" s="5"/>
      <c r="X1246" s="5"/>
      <c r="Y1246" s="5"/>
      <c r="Z1246" s="5"/>
    </row>
    <row r="1247" spans="1:26" ht="15.6" x14ac:dyDescent="0.3">
      <c r="A1247" s="18" t="s">
        <v>5</v>
      </c>
      <c r="B1247" s="24" t="s">
        <v>1251</v>
      </c>
      <c r="C1247" s="2" t="str">
        <f ca="1">IFERROR(__xludf.DUMMYFUNCTION("GOOGLETRANSLATE(B1247, ""bn"", ""en"")"),"29 killed in clashes between religious groups in Kurigram; Many people were injured.")</f>
        <v>29 killed in clashes between religious groups in Kurigram; Many people were injured.</v>
      </c>
      <c r="D1247" s="5"/>
      <c r="E1247" s="5"/>
      <c r="F1247" s="5"/>
      <c r="G1247" s="5"/>
      <c r="H1247" s="5"/>
      <c r="I1247" s="5"/>
      <c r="J1247" s="5"/>
      <c r="K1247" s="5"/>
      <c r="L1247" s="5"/>
      <c r="M1247" s="5"/>
      <c r="N1247" s="5"/>
      <c r="O1247" s="5"/>
      <c r="P1247" s="5"/>
      <c r="Q1247" s="5"/>
      <c r="R1247" s="5"/>
      <c r="S1247" s="5"/>
      <c r="T1247" s="5"/>
      <c r="U1247" s="5"/>
      <c r="V1247" s="5"/>
      <c r="W1247" s="5"/>
      <c r="X1247" s="5"/>
      <c r="Y1247" s="5"/>
      <c r="Z1247" s="5"/>
    </row>
    <row r="1248" spans="1:26" ht="15.6" x14ac:dyDescent="0.3">
      <c r="A1248" s="19" t="s">
        <v>23</v>
      </c>
      <c r="B1248" s="26" t="s">
        <v>1252</v>
      </c>
      <c r="C1248" s="2" t="str">
        <f ca="1">IFERROR(__xludf.DUMMYFUNCTION("GOOGLETRANSLATE(B1248, ""bn"", ""en"")"),"Communal riots are not caused by religious people; It is the work of some robbers, atheists and criminals.")</f>
        <v>Communal riots are not caused by religious people; It is the work of some robbers, atheists and criminals.</v>
      </c>
      <c r="D1248" s="7"/>
      <c r="E1248" s="7"/>
      <c r="F1248" s="5"/>
      <c r="G1248" s="5"/>
      <c r="H1248" s="5"/>
      <c r="I1248" s="5"/>
      <c r="J1248" s="5"/>
      <c r="K1248" s="5"/>
      <c r="L1248" s="5"/>
      <c r="M1248" s="5"/>
      <c r="N1248" s="5"/>
      <c r="O1248" s="5"/>
      <c r="P1248" s="5"/>
      <c r="Q1248" s="5"/>
      <c r="R1248" s="5"/>
      <c r="S1248" s="5"/>
      <c r="T1248" s="5"/>
      <c r="U1248" s="5"/>
      <c r="V1248" s="5"/>
      <c r="W1248" s="5"/>
      <c r="X1248" s="5"/>
      <c r="Y1248" s="5"/>
      <c r="Z1248" s="5"/>
    </row>
    <row r="1249" spans="1:26" ht="15.6" x14ac:dyDescent="0.3">
      <c r="A1249" s="18" t="s">
        <v>3</v>
      </c>
      <c r="B1249" s="25" t="s">
        <v>1253</v>
      </c>
      <c r="C1249" s="2" t="str">
        <f ca="1">IFERROR(__xludf.DUMMYFUNCTION("GOOGLETRANSLATE(B1249, ""bn"", ""en"")"),"Religion is not important to be a good person. If you practice religion and practice hypocrisy, resort to lies, deceive people, deceive people, then that religion will not be useful for your development; That religion will not help you to be a good person"&amp;".")</f>
        <v>Religion is not important to be a good person. If you practice religion and practice hypocrisy, resort to lies, deceive people, deceive people, then that religion will not be useful for your development; That religion will not help you to be a good person.</v>
      </c>
      <c r="D1249" s="5"/>
      <c r="E1249" s="5"/>
      <c r="F1249" s="5"/>
      <c r="G1249" s="5"/>
      <c r="H1249" s="5"/>
      <c r="I1249" s="5"/>
      <c r="J1249" s="5"/>
      <c r="K1249" s="5"/>
      <c r="L1249" s="5"/>
      <c r="M1249" s="5"/>
      <c r="N1249" s="5"/>
      <c r="O1249" s="5"/>
      <c r="P1249" s="5"/>
      <c r="Q1249" s="5"/>
      <c r="R1249" s="5"/>
      <c r="S1249" s="5"/>
      <c r="T1249" s="5"/>
      <c r="U1249" s="5"/>
      <c r="V1249" s="5"/>
      <c r="W1249" s="5"/>
      <c r="X1249" s="5"/>
      <c r="Y1249" s="5"/>
      <c r="Z1249" s="5"/>
    </row>
    <row r="1250" spans="1:26" ht="15.6" x14ac:dyDescent="0.3">
      <c r="A1250" s="19" t="s">
        <v>3</v>
      </c>
      <c r="B1250" s="26" t="s">
        <v>1254</v>
      </c>
      <c r="C1250" s="2" t="str">
        <f ca="1">IFERROR(__xludf.DUMMYFUNCTION("GOOGLETRANSLATE(B1250, ""bn"", ""en"")"),"The major religious festivals of Muslims around the world are Eid-ul-Fitr and Eid-ul-Azha.")</f>
        <v>The major religious festivals of Muslims around the world are Eid-ul-Fitr and Eid-ul-Azha.</v>
      </c>
      <c r="D1250" s="7"/>
      <c r="E1250" s="5"/>
      <c r="F1250" s="5"/>
      <c r="G1250" s="5"/>
      <c r="H1250" s="5"/>
      <c r="I1250" s="5"/>
      <c r="J1250" s="5"/>
      <c r="K1250" s="5"/>
      <c r="L1250" s="5"/>
      <c r="M1250" s="5"/>
      <c r="N1250" s="5"/>
      <c r="O1250" s="5"/>
      <c r="P1250" s="5"/>
      <c r="Q1250" s="5"/>
      <c r="R1250" s="5"/>
      <c r="S1250" s="5"/>
      <c r="T1250" s="5"/>
      <c r="U1250" s="5"/>
      <c r="V1250" s="5"/>
      <c r="W1250" s="5"/>
      <c r="X1250" s="5"/>
      <c r="Y1250" s="5"/>
      <c r="Z1250" s="5"/>
    </row>
    <row r="1251" spans="1:26" ht="15.6" x14ac:dyDescent="0.3">
      <c r="A1251" s="19" t="s">
        <v>5</v>
      </c>
      <c r="B1251" s="26" t="s">
        <v>1255</v>
      </c>
      <c r="C1251" s="2" t="str">
        <f ca="1">IFERROR(__xludf.DUMMYFUNCTION("GOOGLETRANSLATE(B1251, ""bn"", ""en"")"),"Chandrakumar Karmakar of Manpura and Jamini De, a hotel employee of Ghoshbagh, were killed near Jamalpur. Ashu Sen of Devisinghpur was brutally beaten at Tajumiya market in Char Parvati. Rajkumar Chowdhury of Banshpara was severely beaten and left injured"&amp;" on his way to his home.")</f>
        <v>Chandrakumar Karmakar of Manpura and Jamini De, a hotel employee of Ghoshbagh, were killed near Jamalpur. Ashu Sen of Devisinghpur was brutally beaten at Tajumiya market in Char Parvati. Rajkumar Chowdhury of Banshpara was severely beaten and left injured on his way to his home.</v>
      </c>
      <c r="D1251" s="7"/>
      <c r="E1251" s="7"/>
      <c r="F1251" s="7"/>
      <c r="G1251" s="7"/>
      <c r="H1251" s="7"/>
      <c r="I1251" s="7"/>
      <c r="J1251" s="5"/>
      <c r="K1251" s="5"/>
      <c r="L1251" s="5"/>
      <c r="M1251" s="5"/>
      <c r="N1251" s="5"/>
      <c r="O1251" s="5"/>
      <c r="P1251" s="5"/>
      <c r="Q1251" s="5"/>
      <c r="R1251" s="5"/>
      <c r="S1251" s="5"/>
      <c r="T1251" s="5"/>
      <c r="U1251" s="5"/>
      <c r="V1251" s="5"/>
      <c r="W1251" s="5"/>
      <c r="X1251" s="5"/>
      <c r="Y1251" s="5"/>
      <c r="Z1251" s="5"/>
    </row>
    <row r="1252" spans="1:26" ht="15.6" x14ac:dyDescent="0.3">
      <c r="A1252" s="19" t="s">
        <v>5</v>
      </c>
      <c r="B1252" s="26" t="s">
        <v>1256</v>
      </c>
      <c r="C1252" s="2" t="str">
        <f ca="1">IFERROR(__xludf.DUMMYFUNCTION("GOOGLETRANSLATE(B1252, ""bn"", ""en"")"),"However, Colucci and Lester stated that none of the women reported by the media had been psychologically evaluated prior to their suicides, and thus to ascertain whether culture or mental illness was the primary driver behind their suicides. No objective "&amp;"data.")</f>
        <v>However, Colucci and Lester stated that none of the women reported by the media had been psychologically evaluated prior to their suicides, and thus to ascertain whether culture or mental illness was the primary driver behind their suicides. No objective data.</v>
      </c>
      <c r="D1252" s="7"/>
      <c r="E1252" s="7"/>
      <c r="F1252" s="7"/>
      <c r="G1252" s="7"/>
      <c r="H1252" s="5"/>
      <c r="I1252" s="5"/>
      <c r="J1252" s="5"/>
      <c r="K1252" s="5"/>
      <c r="L1252" s="5"/>
      <c r="M1252" s="5"/>
      <c r="N1252" s="5"/>
      <c r="O1252" s="5"/>
      <c r="P1252" s="5"/>
      <c r="Q1252" s="5"/>
      <c r="R1252" s="5"/>
      <c r="S1252" s="5"/>
      <c r="T1252" s="5"/>
      <c r="U1252" s="5"/>
      <c r="V1252" s="5"/>
      <c r="W1252" s="5"/>
      <c r="X1252" s="5"/>
      <c r="Y1252" s="5"/>
      <c r="Z1252" s="5"/>
    </row>
    <row r="1253" spans="1:26" ht="15.6" x14ac:dyDescent="0.3">
      <c r="A1253" s="18" t="s">
        <v>23</v>
      </c>
      <c r="B1253" s="25" t="s">
        <v>1257</v>
      </c>
      <c r="C1253" s="2" t="str">
        <f ca="1">IFERROR(__xludf.DUMMYFUNCTION("GOOGLETRANSLATE(B1253, ""bn"", ""en"")"),"Buddhism is a very well-known and well-known religion. Buddhism is generally not an overtly theistic religion, far from being an Abrahamic religion.")</f>
        <v>Buddhism is a very well-known and well-known religion. Buddhism is generally not an overtly theistic religion, far from being an Abrahamic religion.</v>
      </c>
      <c r="D1253" s="2"/>
      <c r="E1253" s="2"/>
      <c r="F1253" s="2"/>
      <c r="G1253" s="2"/>
      <c r="H1253" s="3"/>
      <c r="I1253" s="3"/>
      <c r="J1253" s="3"/>
      <c r="K1253" s="3"/>
      <c r="L1253" s="3"/>
      <c r="M1253" s="3"/>
      <c r="N1253" s="3"/>
      <c r="O1253" s="3"/>
      <c r="P1253" s="3"/>
      <c r="Q1253" s="3"/>
      <c r="R1253" s="3"/>
      <c r="S1253" s="3"/>
      <c r="T1253" s="3"/>
      <c r="U1253" s="3"/>
      <c r="V1253" s="3"/>
      <c r="W1253" s="3"/>
      <c r="X1253" s="3"/>
      <c r="Y1253" s="3"/>
      <c r="Z1253" s="3"/>
    </row>
    <row r="1254" spans="1:26" ht="15.6" x14ac:dyDescent="0.3">
      <c r="A1254" s="19" t="s">
        <v>3</v>
      </c>
      <c r="B1254" s="26" t="s">
        <v>1258</v>
      </c>
      <c r="C1254" s="2" t="str">
        <f ca="1">IFERROR(__xludf.DUMMYFUNCTION("GOOGLETRANSLATE(B1254, ""bn"", ""en"")"),"It is true that Islam believes that fate or destiny is in the hands of Allah and is solely dependent on Allah's will. All the events of human life, good and bad, sorrow and happiness, life and death are all determined in the plan of Allah. However, Allah "&amp;"has given us free will to do good and follow His path. Human understanding of fate is limited, and none but Allah knows its exact secrets. However, it is a lesson for us that we can do our best according to our own actions and desires, and make life beaut"&amp;"iful by trusting in Allah.")</f>
        <v>It is true that Islam believes that fate or destiny is in the hands of Allah and is solely dependent on Allah's will. All the events of human life, good and bad, sorrow and happiness, life and death are all determined in the plan of Allah. However, Allah has given us free will to do good and follow His path. Human understanding of fate is limited, and none but Allah knows its exact secrets. However, it is a lesson for us that we can do our best according to our own actions and desires, and make life beautiful by trusting in Allah.</v>
      </c>
      <c r="D1254" s="7"/>
      <c r="E1254" s="7"/>
      <c r="F1254" s="7"/>
      <c r="G1254" s="7"/>
      <c r="H1254" s="7"/>
      <c r="I1254" s="7"/>
      <c r="J1254" s="7"/>
      <c r="K1254" s="7"/>
      <c r="L1254" s="7"/>
      <c r="M1254" s="7"/>
      <c r="N1254" s="7"/>
      <c r="O1254" s="7"/>
      <c r="P1254" s="7"/>
      <c r="Q1254" s="7"/>
      <c r="R1254" s="7"/>
      <c r="S1254" s="7"/>
      <c r="T1254" s="7"/>
      <c r="U1254" s="7"/>
      <c r="V1254" s="7"/>
      <c r="W1254" s="7"/>
      <c r="X1254" s="7"/>
      <c r="Y1254" s="7"/>
      <c r="Z1254" s="7"/>
    </row>
    <row r="1255" spans="1:26" ht="15.6" x14ac:dyDescent="0.3">
      <c r="A1255" s="18" t="s">
        <v>23</v>
      </c>
      <c r="B1255" s="24" t="s">
        <v>1259</v>
      </c>
      <c r="C1255" s="2" t="str">
        <f ca="1">IFERROR(__xludf.DUMMYFUNCTION("GOOGLETRANSLATE(B1255, ""bn"", ""en"")"),"Those who spread violence and hatred towards people of other religions, actually want to create unrest in the society and block the path of peace.")</f>
        <v>Those who spread violence and hatred towards people of other religions, actually want to create unrest in the society and block the path of peace.</v>
      </c>
      <c r="D1255" s="5"/>
      <c r="E1255" s="5"/>
      <c r="F1255" s="5"/>
      <c r="G1255" s="5"/>
      <c r="H1255" s="5"/>
      <c r="I1255" s="5"/>
      <c r="J1255" s="5"/>
      <c r="K1255" s="5"/>
      <c r="L1255" s="5"/>
      <c r="M1255" s="5"/>
      <c r="N1255" s="5"/>
      <c r="O1255" s="5"/>
      <c r="P1255" s="5"/>
      <c r="Q1255" s="5"/>
      <c r="R1255" s="5"/>
      <c r="S1255" s="5"/>
      <c r="T1255" s="5"/>
      <c r="U1255" s="5"/>
      <c r="V1255" s="5"/>
      <c r="W1255" s="5"/>
      <c r="X1255" s="5"/>
      <c r="Y1255" s="5"/>
      <c r="Z1255" s="5"/>
    </row>
    <row r="1256" spans="1:26" ht="15.6" x14ac:dyDescent="0.3">
      <c r="A1256" s="18" t="s">
        <v>3</v>
      </c>
      <c r="B1256" s="25" t="s">
        <v>1260</v>
      </c>
      <c r="C1256" s="2" t="str">
        <f ca="1">IFERROR(__xludf.DUMMYFUNCTION("GOOGLETRANSLATE(B1256, ""bn"", ""en"")"),"The foundation of Islam is peace, which refers to the importance of kindness, compassion and peaceful relations among believers.")</f>
        <v>The foundation of Islam is peace, which refers to the importance of kindness, compassion and peaceful relations among believers.</v>
      </c>
      <c r="D1256" s="2"/>
      <c r="E1256" s="2"/>
      <c r="F1256" s="2"/>
      <c r="G1256" s="2"/>
      <c r="H1256" s="5"/>
      <c r="I1256" s="5"/>
      <c r="J1256" s="5"/>
      <c r="K1256" s="5"/>
      <c r="L1256" s="5"/>
      <c r="M1256" s="5"/>
      <c r="N1256" s="5"/>
      <c r="O1256" s="5"/>
      <c r="P1256" s="5"/>
      <c r="Q1256" s="5"/>
      <c r="R1256" s="5"/>
      <c r="S1256" s="5"/>
      <c r="T1256" s="5"/>
      <c r="U1256" s="5"/>
      <c r="V1256" s="5"/>
      <c r="W1256" s="5"/>
      <c r="X1256" s="5"/>
      <c r="Y1256" s="5"/>
      <c r="Z1256" s="5"/>
    </row>
    <row r="1257" spans="1:26" ht="15.6" x14ac:dyDescent="0.3">
      <c r="A1257" s="18" t="s">
        <v>5</v>
      </c>
      <c r="B1257" s="24" t="s">
        <v>1261</v>
      </c>
      <c r="C1257" s="2" t="str">
        <f ca="1">IFERROR(__xludf.DUMMYFUNCTION("GOOGLETRANSLATE(B1257, ""bn"", ""en"")"),"A religious extremist group spread misleading religious propaganda on social media, targeting minorities for murder and rape, killing 58 people.")</f>
        <v>A religious extremist group spread misleading religious propaganda on social media, targeting minorities for murder and rape, killing 58 people.</v>
      </c>
      <c r="D1257" s="5"/>
      <c r="E1257" s="5"/>
      <c r="F1257" s="5"/>
      <c r="G1257" s="5"/>
      <c r="H1257" s="5"/>
      <c r="I1257" s="5"/>
      <c r="J1257" s="5"/>
      <c r="K1257" s="5"/>
      <c r="L1257" s="5"/>
      <c r="M1257" s="5"/>
      <c r="N1257" s="5"/>
      <c r="O1257" s="5"/>
      <c r="P1257" s="5"/>
      <c r="Q1257" s="5"/>
      <c r="R1257" s="5"/>
      <c r="S1257" s="5"/>
      <c r="T1257" s="5"/>
      <c r="U1257" s="5"/>
      <c r="V1257" s="5"/>
      <c r="W1257" s="5"/>
      <c r="X1257" s="5"/>
      <c r="Y1257" s="5"/>
      <c r="Z1257" s="5"/>
    </row>
    <row r="1258" spans="1:26" ht="15.6" x14ac:dyDescent="0.3">
      <c r="A1258" s="18" t="s">
        <v>8</v>
      </c>
      <c r="B1258" s="25" t="s">
        <v>1262</v>
      </c>
      <c r="C1258" s="2" t="str">
        <f ca="1">IFERROR(__xludf.DUMMYFUNCTION("GOOGLETRANSLATE(B1258, ""bn"", ""en"")"),"On October 14, Muslims tortured thousands of lower caste Hindus in the area under the control of Ramganj Police Station in Noakhali. Their houses were looted and their dwellings were set on fire.")</f>
        <v>On October 14, Muslims tortured thousands of lower caste Hindus in the area under the control of Ramganj Police Station in Noakhali. Their houses were looted and their dwellings were set on fire.</v>
      </c>
      <c r="D1258" s="6"/>
      <c r="E1258" s="6"/>
      <c r="F1258" s="2"/>
      <c r="G1258" s="2"/>
      <c r="H1258" s="5"/>
      <c r="I1258" s="5"/>
      <c r="J1258" s="5"/>
      <c r="K1258" s="5"/>
      <c r="L1258" s="5"/>
      <c r="M1258" s="5"/>
      <c r="N1258" s="5"/>
      <c r="O1258" s="5"/>
      <c r="P1258" s="5"/>
      <c r="Q1258" s="5"/>
      <c r="R1258" s="5"/>
      <c r="S1258" s="5"/>
      <c r="T1258" s="5"/>
      <c r="U1258" s="5"/>
      <c r="V1258" s="5"/>
      <c r="W1258" s="5"/>
      <c r="X1258" s="5"/>
      <c r="Y1258" s="5"/>
      <c r="Z1258" s="5"/>
    </row>
    <row r="1259" spans="1:26" ht="15.6" x14ac:dyDescent="0.3">
      <c r="A1259" s="18" t="s">
        <v>23</v>
      </c>
      <c r="B1259" s="25" t="s">
        <v>1263</v>
      </c>
      <c r="C1259" s="2" t="str">
        <f ca="1">IFERROR(__xludf.DUMMYFUNCTION("GOOGLETRANSLATE(B1259, ""bn"", ""en"")"),"For several days, some fundamentalist groups, militant groups have been carrying out various religious propaganda against me. Some of them teach in private and public universities")</f>
        <v>For several days, some fundamentalist groups, militant groups have been carrying out various religious propaganda against me. Some of them teach in private and public universities</v>
      </c>
      <c r="D1259" s="2"/>
      <c r="E1259" s="2"/>
      <c r="F1259" s="2"/>
      <c r="G1259" s="2"/>
      <c r="H1259" s="5"/>
      <c r="I1259" s="5"/>
      <c r="J1259" s="5"/>
      <c r="K1259" s="5"/>
      <c r="L1259" s="5"/>
      <c r="M1259" s="5"/>
      <c r="N1259" s="5"/>
      <c r="O1259" s="5"/>
      <c r="P1259" s="5"/>
      <c r="Q1259" s="5"/>
      <c r="R1259" s="5"/>
      <c r="S1259" s="5"/>
      <c r="T1259" s="5"/>
      <c r="U1259" s="5"/>
      <c r="V1259" s="5"/>
      <c r="W1259" s="5"/>
      <c r="X1259" s="5"/>
      <c r="Y1259" s="5"/>
      <c r="Z1259" s="5"/>
    </row>
    <row r="1260" spans="1:26" ht="15.6" x14ac:dyDescent="0.3">
      <c r="A1260" s="18" t="s">
        <v>8</v>
      </c>
      <c r="B1260" s="25" t="s">
        <v>1264</v>
      </c>
      <c r="C1260" s="2" t="str">
        <f ca="1">IFERROR(__xludf.DUMMYFUNCTION("GOOGLETRANSLATE(B1260, ""bn"", ""en"")"),"In the last five years, incidents of communal violence and terrorist attacks have been increasing in Bangladesh.")</f>
        <v>In the last five years, incidents of communal violence and terrorist attacks have been increasing in Bangladesh.</v>
      </c>
      <c r="D1260" s="2"/>
      <c r="E1260" s="2"/>
      <c r="F1260" s="2"/>
      <c r="G1260" s="2"/>
      <c r="H1260" s="3"/>
      <c r="I1260" s="3"/>
      <c r="J1260" s="3"/>
      <c r="K1260" s="3"/>
      <c r="L1260" s="3"/>
      <c r="M1260" s="3"/>
      <c r="N1260" s="3"/>
      <c r="O1260" s="3"/>
      <c r="P1260" s="3"/>
      <c r="Q1260" s="3"/>
      <c r="R1260" s="3"/>
      <c r="S1260" s="3"/>
      <c r="T1260" s="3"/>
      <c r="U1260" s="3"/>
      <c r="V1260" s="3"/>
      <c r="W1260" s="3"/>
      <c r="X1260" s="3"/>
      <c r="Y1260" s="3"/>
      <c r="Z1260" s="3"/>
    </row>
    <row r="1261" spans="1:26" ht="15.6" x14ac:dyDescent="0.3">
      <c r="A1261" s="18" t="s">
        <v>5</v>
      </c>
      <c r="B1261" s="25" t="s">
        <v>1265</v>
      </c>
      <c r="C1261" s="2" t="str">
        <f ca="1">IFERROR(__xludf.DUMMYFUNCTION("GOOGLETRANSLATE(B1261, ""bn"", ""en"")"),"The fleeing Hindus were killed in a special manner on the bridge.")</f>
        <v>The fleeing Hindus were killed in a special manner on the bridge.</v>
      </c>
      <c r="D1261" s="5"/>
      <c r="E1261" s="5"/>
      <c r="F1261" s="5"/>
      <c r="G1261" s="5"/>
      <c r="H1261" s="5"/>
      <c r="I1261" s="5"/>
      <c r="J1261" s="5"/>
      <c r="K1261" s="5"/>
      <c r="L1261" s="5"/>
      <c r="M1261" s="5"/>
      <c r="N1261" s="5"/>
      <c r="O1261" s="5"/>
      <c r="P1261" s="5"/>
      <c r="Q1261" s="5"/>
      <c r="R1261" s="5"/>
      <c r="S1261" s="5"/>
      <c r="T1261" s="5"/>
      <c r="U1261" s="5"/>
      <c r="V1261" s="5"/>
      <c r="W1261" s="5"/>
      <c r="X1261" s="5"/>
      <c r="Y1261" s="5"/>
      <c r="Z1261" s="5"/>
    </row>
    <row r="1262" spans="1:26" ht="15.6" x14ac:dyDescent="0.3">
      <c r="A1262" s="18" t="s">
        <v>23</v>
      </c>
      <c r="B1262" s="25" t="s">
        <v>1266</v>
      </c>
      <c r="C1262" s="2" t="str">
        <f ca="1">IFERROR(__xludf.DUMMYFUNCTION("GOOGLETRANSLATE(B1262, ""bn"", ""en"")"),"The so-called secularists are running around with an agenda to destroy Islam—they should be boycotted.")</f>
        <v>The so-called secularists are running around with an agenda to destroy Islam—they should be boycotted.</v>
      </c>
      <c r="D1262" s="5"/>
      <c r="E1262" s="5"/>
      <c r="F1262" s="5"/>
      <c r="G1262" s="5"/>
      <c r="H1262" s="5"/>
      <c r="I1262" s="5"/>
      <c r="J1262" s="5"/>
      <c r="K1262" s="5"/>
      <c r="L1262" s="5"/>
      <c r="M1262" s="5"/>
      <c r="N1262" s="5"/>
      <c r="O1262" s="5"/>
      <c r="P1262" s="5"/>
      <c r="Q1262" s="5"/>
      <c r="R1262" s="5"/>
      <c r="S1262" s="5"/>
      <c r="T1262" s="5"/>
      <c r="U1262" s="5"/>
      <c r="V1262" s="5"/>
      <c r="W1262" s="5"/>
      <c r="X1262" s="5"/>
      <c r="Y1262" s="5"/>
      <c r="Z1262" s="5"/>
    </row>
    <row r="1263" spans="1:26" ht="15.6" x14ac:dyDescent="0.3">
      <c r="A1263" s="18" t="s">
        <v>3</v>
      </c>
      <c r="B1263" s="25" t="s">
        <v>1267</v>
      </c>
      <c r="C1263" s="2" t="str">
        <f ca="1">IFERROR(__xludf.DUMMYFUNCTION("GOOGLETRANSLATE(B1263, ""bn"", ""en"")"),"Hijab, niqab sisters, whatever you are doing, take it a step ahead. Have Iftar together, roam around.")</f>
        <v>Hijab, niqab sisters, whatever you are doing, take it a step ahead. Have Iftar together, roam around.</v>
      </c>
      <c r="D1263" s="6"/>
      <c r="E1263" s="2"/>
      <c r="F1263" s="2"/>
      <c r="G1263" s="2"/>
      <c r="H1263" s="3"/>
      <c r="I1263" s="3"/>
      <c r="J1263" s="3"/>
      <c r="K1263" s="3"/>
      <c r="L1263" s="3"/>
      <c r="M1263" s="3"/>
      <c r="N1263" s="3"/>
      <c r="O1263" s="3"/>
      <c r="P1263" s="3"/>
      <c r="Q1263" s="3"/>
      <c r="R1263" s="3"/>
      <c r="S1263" s="3"/>
      <c r="T1263" s="3"/>
      <c r="U1263" s="3"/>
      <c r="V1263" s="3"/>
      <c r="W1263" s="3"/>
      <c r="X1263" s="3"/>
      <c r="Y1263" s="3"/>
      <c r="Z1263" s="3"/>
    </row>
    <row r="1264" spans="1:26" ht="15.6" x14ac:dyDescent="0.3">
      <c r="A1264" s="18" t="s">
        <v>23</v>
      </c>
      <c r="B1264" s="25" t="s">
        <v>1268</v>
      </c>
      <c r="C1264" s="2" t="str">
        <f ca="1">IFERROR(__xludf.DUMMYFUNCTION("GOOGLETRANSLATE(B1264, ""bn"", ""en"")"),"Once I was reading Quran while sitting in front of a deceased relative. The imam of the local mosque came and said that the Quran cannot be recited while sitting in front of the deceased. It was never read after that.")</f>
        <v>Once I was reading Quran while sitting in front of a deceased relative. The imam of the local mosque came and said that the Quran cannot be recited while sitting in front of the deceased. It was never read after that.</v>
      </c>
      <c r="D1264" s="2"/>
      <c r="E1264" s="2"/>
      <c r="F1264" s="2"/>
      <c r="G1264" s="2"/>
      <c r="H1264" s="5"/>
      <c r="I1264" s="5"/>
      <c r="J1264" s="5"/>
      <c r="K1264" s="5"/>
      <c r="L1264" s="5"/>
      <c r="M1264" s="5"/>
      <c r="N1264" s="5"/>
      <c r="O1264" s="5"/>
      <c r="P1264" s="5"/>
      <c r="Q1264" s="5"/>
      <c r="R1264" s="5"/>
      <c r="S1264" s="5"/>
      <c r="T1264" s="5"/>
      <c r="U1264" s="5"/>
      <c r="V1264" s="5"/>
      <c r="W1264" s="5"/>
      <c r="X1264" s="5"/>
      <c r="Y1264" s="5"/>
      <c r="Z1264" s="5"/>
    </row>
    <row r="1265" spans="1:26" ht="15.6" x14ac:dyDescent="0.3">
      <c r="A1265" s="18" t="s">
        <v>5</v>
      </c>
      <c r="B1265" s="24" t="s">
        <v>1269</v>
      </c>
      <c r="C1265" s="2" t="str">
        <f ca="1">IFERROR(__xludf.DUMMYFUNCTION("GOOGLETRANSLATE(B1265, ""bn"", ""en"")"),"A mosque was attacked by religious extremists in Panchgarh; 28 people were killed.")</f>
        <v>A mosque was attacked by religious extremists in Panchgarh; 28 people were killed.</v>
      </c>
      <c r="D1265" s="5"/>
      <c r="E1265" s="5"/>
      <c r="F1265" s="5"/>
      <c r="G1265" s="5"/>
      <c r="H1265" s="5"/>
      <c r="I1265" s="5"/>
      <c r="J1265" s="5"/>
      <c r="K1265" s="5"/>
      <c r="L1265" s="5"/>
      <c r="M1265" s="5"/>
      <c r="N1265" s="5"/>
      <c r="O1265" s="5"/>
      <c r="P1265" s="5"/>
      <c r="Q1265" s="5"/>
      <c r="R1265" s="5"/>
      <c r="S1265" s="5"/>
      <c r="T1265" s="5"/>
      <c r="U1265" s="5"/>
      <c r="V1265" s="5"/>
      <c r="W1265" s="5"/>
      <c r="X1265" s="5"/>
      <c r="Y1265" s="5"/>
      <c r="Z1265" s="5"/>
    </row>
    <row r="1266" spans="1:26" ht="15.6" x14ac:dyDescent="0.3">
      <c r="A1266" s="18" t="s">
        <v>5</v>
      </c>
      <c r="B1266" s="24" t="s">
        <v>1270</v>
      </c>
      <c r="C1266" s="2" t="str">
        <f ca="1">IFERROR(__xludf.DUMMYFUNCTION("GOOGLETRANSLATE(B1266, ""bn"", ""en"")"),"In December 2018, 29 people were killed in an attack on a Hindu picnic spot, with the attackers destroying temples and houses.")</f>
        <v>In December 2018, 29 people were killed in an attack on a Hindu picnic spot, with the attackers destroying temples and houses.</v>
      </c>
      <c r="D1266" s="5"/>
      <c r="E1266" s="5"/>
      <c r="F1266" s="5"/>
      <c r="G1266" s="5"/>
      <c r="H1266" s="5"/>
      <c r="I1266" s="5"/>
      <c r="J1266" s="5"/>
      <c r="K1266" s="5"/>
      <c r="L1266" s="5"/>
      <c r="M1266" s="5"/>
      <c r="N1266" s="5"/>
      <c r="O1266" s="5"/>
      <c r="P1266" s="5"/>
      <c r="Q1266" s="5"/>
      <c r="R1266" s="5"/>
      <c r="S1266" s="5"/>
      <c r="T1266" s="5"/>
      <c r="U1266" s="5"/>
      <c r="V1266" s="5"/>
      <c r="W1266" s="5"/>
      <c r="X1266" s="5"/>
      <c r="Y1266" s="5"/>
      <c r="Z1266" s="5"/>
    </row>
    <row r="1267" spans="1:26" ht="15.6" x14ac:dyDescent="0.3">
      <c r="A1267" s="18" t="s">
        <v>3</v>
      </c>
      <c r="B1267" s="25" t="s">
        <v>1271</v>
      </c>
      <c r="C1267" s="2" t="str">
        <f ca="1">IFERROR(__xludf.DUMMYFUNCTION("GOOGLETRANSLATE(B1267, ""bn"", ""en"")"),"Devotees light many lamps in each temple, decorate the temple premises with garlands and immerse themselves in the worship of the Buddha.")</f>
        <v>Devotees light many lamps in each temple, decorate the temple premises with garlands and immerse themselves in the worship of the Buddha.</v>
      </c>
      <c r="D1267" s="5"/>
      <c r="E1267" s="5"/>
      <c r="F1267" s="5"/>
      <c r="G1267" s="5"/>
      <c r="H1267" s="5"/>
      <c r="I1267" s="5"/>
      <c r="J1267" s="5"/>
      <c r="K1267" s="5"/>
      <c r="L1267" s="5"/>
      <c r="M1267" s="5"/>
      <c r="N1267" s="5"/>
      <c r="O1267" s="5"/>
      <c r="P1267" s="5"/>
      <c r="Q1267" s="5"/>
      <c r="R1267" s="5"/>
      <c r="S1267" s="5"/>
      <c r="T1267" s="5"/>
      <c r="U1267" s="5"/>
      <c r="V1267" s="5"/>
      <c r="W1267" s="5"/>
      <c r="X1267" s="5"/>
      <c r="Y1267" s="5"/>
      <c r="Z1267" s="5"/>
    </row>
    <row r="1268" spans="1:26" ht="15.6" x14ac:dyDescent="0.3">
      <c r="A1268" s="18" t="s">
        <v>3</v>
      </c>
      <c r="B1268" s="25" t="s">
        <v>1272</v>
      </c>
      <c r="C1268" s="2" t="str">
        <f ca="1">IFERROR(__xludf.DUMMYFUNCTION("GOOGLETRANSLATE(B1268, ""bn"", ""en"")"),"Respect for unity and purity and love for the environment are deeply supported in Hinduism.")</f>
        <v>Respect for unity and purity and love for the environment are deeply supported in Hinduism.</v>
      </c>
      <c r="D1268" s="2"/>
      <c r="E1268" s="2"/>
      <c r="F1268" s="2"/>
      <c r="G1268" s="2"/>
      <c r="H1268" s="3"/>
      <c r="I1268" s="3"/>
      <c r="J1268" s="3"/>
      <c r="K1268" s="3"/>
      <c r="L1268" s="3"/>
      <c r="M1268" s="3"/>
      <c r="N1268" s="3"/>
      <c r="O1268" s="3"/>
      <c r="P1268" s="3"/>
      <c r="Q1268" s="3"/>
      <c r="R1268" s="3"/>
      <c r="S1268" s="3"/>
      <c r="T1268" s="3"/>
      <c r="U1268" s="3"/>
      <c r="V1268" s="3"/>
      <c r="W1268" s="3"/>
      <c r="X1268" s="3"/>
      <c r="Y1268" s="3"/>
      <c r="Z1268" s="3"/>
    </row>
    <row r="1269" spans="1:26" ht="15.6" x14ac:dyDescent="0.3">
      <c r="A1269" s="18" t="s">
        <v>3</v>
      </c>
      <c r="B1269" s="24" t="s">
        <v>1273</v>
      </c>
      <c r="C1269" s="2" t="str">
        <f ca="1">IFERROR(__xludf.DUMMYFUNCTION("GOOGLETRANSLATE(B1269, ""bn"", ""en"")"),"Integrity, compassion and kindness — these are the basic teachings of every religion.")</f>
        <v>Integrity, compassion and kindness — these are the basic teachings of every religion.</v>
      </c>
      <c r="D1269" s="5"/>
      <c r="E1269" s="5"/>
      <c r="F1269" s="5"/>
      <c r="G1269" s="5"/>
      <c r="H1269" s="5"/>
      <c r="I1269" s="5"/>
      <c r="J1269" s="5"/>
      <c r="K1269" s="5"/>
      <c r="L1269" s="5"/>
      <c r="M1269" s="5"/>
      <c r="N1269" s="5"/>
      <c r="O1269" s="5"/>
      <c r="P1269" s="5"/>
      <c r="Q1269" s="5"/>
      <c r="R1269" s="5"/>
      <c r="S1269" s="5"/>
      <c r="T1269" s="5"/>
      <c r="U1269" s="5"/>
      <c r="V1269" s="5"/>
      <c r="W1269" s="5"/>
      <c r="X1269" s="5"/>
      <c r="Y1269" s="5"/>
      <c r="Z1269" s="5"/>
    </row>
    <row r="1270" spans="1:26" ht="15.6" x14ac:dyDescent="0.3">
      <c r="A1270" s="18" t="s">
        <v>5</v>
      </c>
      <c r="B1270" s="24" t="s">
        <v>1274</v>
      </c>
      <c r="C1270" s="2" t="str">
        <f ca="1">IFERROR(__xludf.DUMMYFUNCTION("GOOGLETRANSLATE(B1270, ""bn"", ""en"")"),"In December 2016, a group attacked religious book distributors, killing 18 people.")</f>
        <v>In December 2016, a group attacked religious book distributors, killing 18 people.</v>
      </c>
      <c r="D1270" s="5"/>
      <c r="E1270" s="5"/>
      <c r="F1270" s="5"/>
      <c r="G1270" s="5"/>
      <c r="H1270" s="5"/>
      <c r="I1270" s="5"/>
      <c r="J1270" s="5"/>
      <c r="K1270" s="5"/>
      <c r="L1270" s="5"/>
      <c r="M1270" s="5"/>
      <c r="N1270" s="5"/>
      <c r="O1270" s="5"/>
      <c r="P1270" s="5"/>
      <c r="Q1270" s="5"/>
      <c r="R1270" s="5"/>
      <c r="S1270" s="5"/>
      <c r="T1270" s="5"/>
      <c r="U1270" s="5"/>
      <c r="V1270" s="5"/>
      <c r="W1270" s="5"/>
      <c r="X1270" s="5"/>
      <c r="Y1270" s="5"/>
      <c r="Z1270" s="5"/>
    </row>
    <row r="1271" spans="1:26" ht="15.6" x14ac:dyDescent="0.3">
      <c r="A1271" s="18" t="s">
        <v>3</v>
      </c>
      <c r="B1271" s="25" t="s">
        <v>1275</v>
      </c>
      <c r="C1271" s="2" t="str">
        <f ca="1">IFERROR(__xludf.DUMMYFUNCTION("GOOGLETRANSLATE(B1271, ""bn"", ""en"")"),"It is the second largest religious festival among Buddhists. This festival is celebrated on the full moon day of Ashwin month.")</f>
        <v>It is the second largest religious festival among Buddhists. This festival is celebrated on the full moon day of Ashwin month.</v>
      </c>
      <c r="D1271" s="5"/>
      <c r="E1271" s="5"/>
      <c r="F1271" s="5"/>
      <c r="G1271" s="5"/>
      <c r="H1271" s="5"/>
      <c r="I1271" s="5"/>
      <c r="J1271" s="5"/>
      <c r="K1271" s="5"/>
      <c r="L1271" s="5"/>
      <c r="M1271" s="5"/>
      <c r="N1271" s="5"/>
      <c r="O1271" s="5"/>
      <c r="P1271" s="5"/>
      <c r="Q1271" s="5"/>
      <c r="R1271" s="5"/>
      <c r="S1271" s="5"/>
      <c r="T1271" s="5"/>
      <c r="U1271" s="5"/>
      <c r="V1271" s="5"/>
      <c r="W1271" s="5"/>
      <c r="X1271" s="5"/>
      <c r="Y1271" s="5"/>
      <c r="Z1271" s="5"/>
    </row>
    <row r="1272" spans="1:26" ht="15.6" x14ac:dyDescent="0.3">
      <c r="A1272" s="18" t="s">
        <v>8</v>
      </c>
      <c r="B1272" s="25" t="s">
        <v>1276</v>
      </c>
      <c r="C1272" s="2" t="str">
        <f ca="1">IFERROR(__xludf.DUMMYFUNCTION("GOOGLETRANSLATE(B1272, ""bn"", ""en"")"),"The Hindu girls of Sunaita and Kurma villages were also brutally tortured. Muslims looted the houses of Neer Bhatt and Ram Chandra Bhatt of Akhra village Rajganj.")</f>
        <v>The Hindu girls of Sunaita and Kurma villages were also brutally tortured. Muslims looted the houses of Neer Bhatt and Ram Chandra Bhatt of Akhra village Rajganj.</v>
      </c>
      <c r="D1272" s="2"/>
      <c r="E1272" s="2"/>
      <c r="F1272" s="2"/>
      <c r="G1272" s="2"/>
      <c r="H1272" s="5"/>
      <c r="I1272" s="5"/>
      <c r="J1272" s="5"/>
      <c r="K1272" s="5"/>
      <c r="L1272" s="5"/>
      <c r="M1272" s="5"/>
      <c r="N1272" s="5"/>
      <c r="O1272" s="5"/>
      <c r="P1272" s="5"/>
      <c r="Q1272" s="5"/>
      <c r="R1272" s="5"/>
      <c r="S1272" s="5"/>
      <c r="T1272" s="5"/>
      <c r="U1272" s="5"/>
      <c r="V1272" s="5"/>
      <c r="W1272" s="5"/>
      <c r="X1272" s="5"/>
      <c r="Y1272" s="5"/>
      <c r="Z1272" s="5"/>
    </row>
    <row r="1273" spans="1:26" ht="15.6" x14ac:dyDescent="0.3">
      <c r="A1273" s="19" t="s">
        <v>3</v>
      </c>
      <c r="B1273" s="26" t="s">
        <v>1277</v>
      </c>
      <c r="C1273" s="2" t="str">
        <f ca="1">IFERROR(__xludf.DUMMYFUNCTION("GOOGLETRANSLATE(B1273, ""bn"", ""en"")"),"The Vedas, Puranas and Shastras are the main sources of Hinduism, which teach the path of kindness and compassion.")</f>
        <v>The Vedas, Puranas and Shastras are the main sources of Hinduism, which teach the path of kindness and compassion.</v>
      </c>
      <c r="D1273" s="5"/>
      <c r="E1273" s="5"/>
      <c r="F1273" s="5"/>
      <c r="G1273" s="5"/>
      <c r="H1273" s="5"/>
      <c r="I1273" s="5"/>
      <c r="J1273" s="5"/>
      <c r="K1273" s="5"/>
      <c r="L1273" s="5"/>
      <c r="M1273" s="5"/>
      <c r="N1273" s="5"/>
      <c r="O1273" s="5"/>
      <c r="P1273" s="5"/>
      <c r="Q1273" s="5"/>
      <c r="R1273" s="5"/>
      <c r="S1273" s="5"/>
      <c r="T1273" s="5"/>
      <c r="U1273" s="5"/>
      <c r="V1273" s="5"/>
      <c r="W1273" s="5"/>
      <c r="X1273" s="5"/>
      <c r="Y1273" s="5"/>
      <c r="Z1273" s="5"/>
    </row>
    <row r="1274" spans="1:26" ht="15.6" x14ac:dyDescent="0.3">
      <c r="A1274" s="19" t="s">
        <v>23</v>
      </c>
      <c r="B1274" s="26" t="s">
        <v>1278</v>
      </c>
      <c r="C1274" s="2" t="str">
        <f ca="1">IFERROR(__xludf.DUMMYFUNCTION("GOOGLETRANSLATE(B1274, ""bn"", ""en"")"),"If we talk a little about religion, they jump on our education, license, family, clothes, beard, hijab!")</f>
        <v>If we talk a little about religion, they jump on our education, license, family, clothes, beard, hijab!</v>
      </c>
      <c r="D1274" s="7"/>
      <c r="E1274" s="7"/>
      <c r="F1274" s="7"/>
      <c r="G1274" s="7"/>
      <c r="H1274" s="7"/>
      <c r="I1274" s="7"/>
      <c r="J1274" s="5"/>
      <c r="K1274" s="5"/>
      <c r="L1274" s="5"/>
      <c r="M1274" s="5"/>
      <c r="N1274" s="5"/>
      <c r="O1274" s="5"/>
      <c r="P1274" s="5"/>
      <c r="Q1274" s="5"/>
      <c r="R1274" s="5"/>
      <c r="S1274" s="5"/>
      <c r="T1274" s="5"/>
      <c r="U1274" s="5"/>
      <c r="V1274" s="5"/>
      <c r="W1274" s="5"/>
      <c r="X1274" s="5"/>
      <c r="Y1274" s="5"/>
      <c r="Z1274" s="5"/>
    </row>
    <row r="1275" spans="1:26" ht="15.6" x14ac:dyDescent="0.3">
      <c r="A1275" s="18" t="s">
        <v>5</v>
      </c>
      <c r="B1275" s="24" t="s">
        <v>1279</v>
      </c>
      <c r="C1275" s="2" t="str">
        <f ca="1">IFERROR(__xludf.DUMMYFUNCTION("GOOGLETRANSLATE(B1275, ""bn"", ""en"")"),"In August 2019, a group of religious groups committed violence against minorities, killing 23 people.")</f>
        <v>In August 2019, a group of religious groups committed violence against minorities, killing 23 people.</v>
      </c>
      <c r="D1275" s="5"/>
      <c r="E1275" s="5"/>
      <c r="F1275" s="5"/>
      <c r="G1275" s="5"/>
      <c r="H1275" s="5"/>
      <c r="I1275" s="5"/>
      <c r="J1275" s="5"/>
      <c r="K1275" s="5"/>
      <c r="L1275" s="5"/>
      <c r="M1275" s="5"/>
      <c r="N1275" s="5"/>
      <c r="O1275" s="5"/>
      <c r="P1275" s="5"/>
      <c r="Q1275" s="5"/>
      <c r="R1275" s="5"/>
      <c r="S1275" s="5"/>
      <c r="T1275" s="5"/>
      <c r="U1275" s="5"/>
      <c r="V1275" s="5"/>
      <c r="W1275" s="5"/>
      <c r="X1275" s="5"/>
      <c r="Y1275" s="5"/>
      <c r="Z1275" s="5"/>
    </row>
    <row r="1276" spans="1:26" ht="15.6" x14ac:dyDescent="0.3">
      <c r="A1276" s="18" t="s">
        <v>5</v>
      </c>
      <c r="B1276" s="24" t="s">
        <v>1280</v>
      </c>
      <c r="C1276" s="2" t="str">
        <f ca="1">IFERROR(__xludf.DUMMYFUNCTION("GOOGLETRANSLATE(B1276, ""bn"", ""en"")"),"At least 38 people were killed in an attack on a minority community in Jamalpur due to religious conflict.")</f>
        <v>At least 38 people were killed in an attack on a minority community in Jamalpur due to religious conflict.</v>
      </c>
      <c r="D1276" s="5"/>
      <c r="E1276" s="5"/>
      <c r="F1276" s="5"/>
      <c r="G1276" s="5"/>
      <c r="H1276" s="5"/>
      <c r="I1276" s="5"/>
      <c r="J1276" s="5"/>
      <c r="K1276" s="5"/>
      <c r="L1276" s="5"/>
      <c r="M1276" s="5"/>
      <c r="N1276" s="5"/>
      <c r="O1276" s="5"/>
      <c r="P1276" s="5"/>
      <c r="Q1276" s="5"/>
      <c r="R1276" s="5"/>
      <c r="S1276" s="5"/>
      <c r="T1276" s="5"/>
      <c r="U1276" s="5"/>
      <c r="V1276" s="5"/>
      <c r="W1276" s="5"/>
      <c r="X1276" s="5"/>
      <c r="Y1276" s="5"/>
      <c r="Z1276" s="5"/>
    </row>
    <row r="1277" spans="1:26" ht="15.6" x14ac:dyDescent="0.3">
      <c r="A1277" s="18" t="s">
        <v>8</v>
      </c>
      <c r="B1277" s="25" t="s">
        <v>1281</v>
      </c>
      <c r="C1277" s="2" t="str">
        <f ca="1">IFERROR(__xludf.DUMMYFUNCTION("GOOGLETRANSLATE(B1277, ""bn"", ""en"")"),"When the riots broke out, village canals were systematically torn down with bamboo shacks and roads dug up to make them impassable, and Muslim sailors refused to allow Hindu pilgrims to cross in their boats.")</f>
        <v>When the riots broke out, village canals were systematically torn down with bamboo shacks and roads dug up to make them impassable, and Muslim sailors refused to allow Hindu pilgrims to cross in their boats.</v>
      </c>
      <c r="D1277" s="2"/>
      <c r="E1277" s="2"/>
      <c r="F1277" s="2"/>
      <c r="G1277" s="2"/>
      <c r="H1277" s="5"/>
      <c r="I1277" s="5"/>
      <c r="J1277" s="5"/>
      <c r="K1277" s="5"/>
      <c r="L1277" s="5"/>
      <c r="M1277" s="5"/>
      <c r="N1277" s="5"/>
      <c r="O1277" s="5"/>
      <c r="P1277" s="5"/>
      <c r="Q1277" s="5"/>
      <c r="R1277" s="5"/>
      <c r="S1277" s="5"/>
      <c r="T1277" s="5"/>
      <c r="U1277" s="5"/>
      <c r="V1277" s="5"/>
      <c r="W1277" s="5"/>
      <c r="X1277" s="5"/>
      <c r="Y1277" s="5"/>
      <c r="Z1277" s="5"/>
    </row>
    <row r="1278" spans="1:26" ht="15.6" x14ac:dyDescent="0.3">
      <c r="A1278" s="18" t="s">
        <v>3</v>
      </c>
      <c r="B1278" s="25" t="s">
        <v>1282</v>
      </c>
      <c r="C1278" s="2" t="str">
        <f ca="1">IFERROR(__xludf.DUMMYFUNCTION("GOOGLETRANSLATE(B1278, ""bn"", ""en"")"),"Questions about Islam came to mind, so I read the life of Prophet Muhammad. His kindness and patience touched me. When the direction of life is lost, I seek refuge in the path of Allah.")</f>
        <v>Questions about Islam came to mind, so I read the life of Prophet Muhammad. His kindness and patience touched me. When the direction of life is lost, I seek refuge in the path of Allah.</v>
      </c>
      <c r="D1278" s="5"/>
      <c r="E1278" s="5"/>
      <c r="F1278" s="5"/>
      <c r="G1278" s="5"/>
      <c r="H1278" s="5"/>
      <c r="I1278" s="5"/>
      <c r="J1278" s="5"/>
      <c r="K1278" s="5"/>
      <c r="L1278" s="5"/>
      <c r="M1278" s="5"/>
      <c r="N1278" s="5"/>
      <c r="O1278" s="5"/>
      <c r="P1278" s="5"/>
      <c r="Q1278" s="5"/>
      <c r="R1278" s="5"/>
      <c r="S1278" s="5"/>
      <c r="T1278" s="5"/>
      <c r="U1278" s="5"/>
      <c r="V1278" s="5"/>
      <c r="W1278" s="5"/>
      <c r="X1278" s="5"/>
      <c r="Y1278" s="5"/>
      <c r="Z1278" s="5"/>
    </row>
    <row r="1279" spans="1:26" ht="15.6" x14ac:dyDescent="0.3">
      <c r="A1279" s="18" t="s">
        <v>23</v>
      </c>
      <c r="B1279" s="25" t="s">
        <v>1283</v>
      </c>
      <c r="C1279" s="2" t="str">
        <f ca="1">IFERROR(__xludf.DUMMYFUNCTION("GOOGLETRANSLATE(B1279, ""bn"", ""en"")"),"Muhammad deliberately provoked the people of Mecca by breaking the treaty, which is proof of his deception.")</f>
        <v>Muhammad deliberately provoked the people of Mecca by breaking the treaty, which is proof of his deception.</v>
      </c>
      <c r="D1279" s="5"/>
      <c r="E1279" s="5"/>
      <c r="F1279" s="5"/>
      <c r="G1279" s="5"/>
      <c r="H1279" s="5"/>
      <c r="I1279" s="5"/>
      <c r="J1279" s="5"/>
      <c r="K1279" s="5"/>
      <c r="L1279" s="5"/>
      <c r="M1279" s="5"/>
      <c r="N1279" s="5"/>
      <c r="O1279" s="5"/>
      <c r="P1279" s="5"/>
      <c r="Q1279" s="5"/>
      <c r="R1279" s="5"/>
      <c r="S1279" s="5"/>
      <c r="T1279" s="5"/>
      <c r="U1279" s="5"/>
      <c r="V1279" s="5"/>
      <c r="W1279" s="5"/>
      <c r="X1279" s="5"/>
      <c r="Y1279" s="5"/>
      <c r="Z1279" s="5"/>
    </row>
    <row r="1280" spans="1:26" ht="15.6" x14ac:dyDescent="0.3">
      <c r="A1280" s="19" t="s">
        <v>5</v>
      </c>
      <c r="B1280" s="26" t="s">
        <v>1284</v>
      </c>
      <c r="C1280" s="2" t="str">
        <f ca="1">IFERROR(__xludf.DUMMYFUNCTION("GOOGLETRANSLATE(B1280, ""bn"", ""en"")"),"In the last nine years, there have been around 3,679 attacks against the Hindu community in Bangladesh, none of which have been brought to justice.")</f>
        <v>In the last nine years, there have been around 3,679 attacks against the Hindu community in Bangladesh, none of which have been brought to justice.</v>
      </c>
      <c r="D1280" s="7"/>
      <c r="E1280" s="7"/>
      <c r="F1280" s="7"/>
      <c r="G1280" s="5"/>
      <c r="H1280" s="5"/>
      <c r="I1280" s="5"/>
      <c r="J1280" s="5"/>
      <c r="K1280" s="5"/>
      <c r="L1280" s="5"/>
      <c r="M1280" s="5"/>
      <c r="N1280" s="5"/>
      <c r="O1280" s="5"/>
      <c r="P1280" s="5"/>
      <c r="Q1280" s="5"/>
      <c r="R1280" s="5"/>
      <c r="S1280" s="5"/>
      <c r="T1280" s="5"/>
      <c r="U1280" s="5"/>
      <c r="V1280" s="5"/>
      <c r="W1280" s="5"/>
      <c r="X1280" s="5"/>
      <c r="Y1280" s="5"/>
      <c r="Z1280" s="5"/>
    </row>
    <row r="1281" spans="1:26" ht="15.6" x14ac:dyDescent="0.3">
      <c r="A1281" s="18" t="s">
        <v>5</v>
      </c>
      <c r="B1281" s="24" t="s">
        <v>1285</v>
      </c>
      <c r="C1281" s="2" t="str">
        <f ca="1">IFERROR(__xludf.DUMMYFUNCTION("GOOGLETRANSLATE(B1281, ""bn"", ""en"")"),"A female teacher was gang-raped and killed due to religious hatred, 16 people were killed in the protest.")</f>
        <v>A female teacher was gang-raped and killed due to religious hatred, 16 people were killed in the protest.</v>
      </c>
      <c r="D1281" s="5"/>
      <c r="E1281" s="5"/>
      <c r="F1281" s="5"/>
      <c r="G1281" s="5"/>
      <c r="H1281" s="5"/>
      <c r="I1281" s="5"/>
      <c r="J1281" s="5"/>
      <c r="K1281" s="5"/>
      <c r="L1281" s="5"/>
      <c r="M1281" s="5"/>
      <c r="N1281" s="5"/>
      <c r="O1281" s="5"/>
      <c r="P1281" s="5"/>
      <c r="Q1281" s="5"/>
      <c r="R1281" s="5"/>
      <c r="S1281" s="5"/>
      <c r="T1281" s="5"/>
      <c r="U1281" s="5"/>
      <c r="V1281" s="5"/>
      <c r="W1281" s="5"/>
      <c r="X1281" s="5"/>
      <c r="Y1281" s="5"/>
      <c r="Z1281" s="5"/>
    </row>
    <row r="1282" spans="1:26" ht="15.6" x14ac:dyDescent="0.3">
      <c r="A1282" s="18" t="s">
        <v>3</v>
      </c>
      <c r="B1282" s="25" t="s">
        <v>1286</v>
      </c>
      <c r="C1282" s="2" t="str">
        <f ca="1">IFERROR(__xludf.DUMMYFUNCTION("GOOGLETRANSLATE(B1282, ""bn"", ""en"")"),"The Holy Quran was revealed on this night. Because of this, Allah Ta'ala has increased the status of this night.")</f>
        <v>The Holy Quran was revealed on this night. Because of this, Allah Ta'ala has increased the status of this night.</v>
      </c>
      <c r="D1282" s="5"/>
      <c r="E1282" s="5"/>
      <c r="F1282" s="5"/>
      <c r="G1282" s="5"/>
      <c r="H1282" s="5"/>
      <c r="I1282" s="5"/>
      <c r="J1282" s="5"/>
      <c r="K1282" s="5"/>
      <c r="L1282" s="5"/>
      <c r="M1282" s="5"/>
      <c r="N1282" s="5"/>
      <c r="O1282" s="5"/>
      <c r="P1282" s="5"/>
      <c r="Q1282" s="5"/>
      <c r="R1282" s="5"/>
      <c r="S1282" s="5"/>
      <c r="T1282" s="5"/>
      <c r="U1282" s="5"/>
      <c r="V1282" s="5"/>
      <c r="W1282" s="5"/>
      <c r="X1282" s="5"/>
      <c r="Y1282" s="5"/>
      <c r="Z1282" s="5"/>
    </row>
    <row r="1283" spans="1:26" ht="15.6" x14ac:dyDescent="0.3">
      <c r="A1283" s="18" t="s">
        <v>5</v>
      </c>
      <c r="B1283" s="25" t="s">
        <v>1287</v>
      </c>
      <c r="C1283" s="2" t="str">
        <f ca="1">IFERROR(__xludf.DUMMYFUNCTION("GOOGLETRANSLATE(B1283, ""bn"", ""en"")"),"The respected Muhtamim of Comilla's Makkinagar Madrasa 'Maulana Abdus Salam Sharafati' was killed in the protest march!")</f>
        <v>The respected Muhtamim of Comilla's Makkinagar Madrasa 'Maulana Abdus Salam Sharafati' was killed in the protest march!</v>
      </c>
      <c r="D1283" s="2"/>
      <c r="E1283" s="2"/>
      <c r="F1283" s="2"/>
      <c r="G1283" s="2"/>
      <c r="H1283" s="3"/>
      <c r="I1283" s="3"/>
      <c r="J1283" s="3"/>
      <c r="K1283" s="3"/>
      <c r="L1283" s="3"/>
      <c r="M1283" s="3"/>
      <c r="N1283" s="3"/>
      <c r="O1283" s="3"/>
      <c r="P1283" s="3"/>
      <c r="Q1283" s="3"/>
      <c r="R1283" s="3"/>
      <c r="S1283" s="3"/>
      <c r="T1283" s="3"/>
      <c r="U1283" s="3"/>
      <c r="V1283" s="3"/>
      <c r="W1283" s="3"/>
      <c r="X1283" s="3"/>
      <c r="Y1283" s="3"/>
      <c r="Z1283" s="3"/>
    </row>
    <row r="1284" spans="1:26" ht="15.6" x14ac:dyDescent="0.3">
      <c r="A1284" s="19" t="s">
        <v>5</v>
      </c>
      <c r="B1284" s="26" t="s">
        <v>1288</v>
      </c>
      <c r="C1284" s="2" t="str">
        <f ca="1">IFERROR(__xludf.DUMMYFUNCTION("GOOGLETRANSLATE(B1284, ""bn"", ""en"")"),"Last December 24, a woman militant committed suicide by bursting a grenade in a raid on a house in East Ashkona of Dakshinkhan police station, a teenage militant was killed.")</f>
        <v>Last December 24, a woman militant committed suicide by bursting a grenade in a raid on a house in East Ashkona of Dakshinkhan police station, a teenage militant was killed.</v>
      </c>
      <c r="D1284" s="5"/>
      <c r="E1284" s="5"/>
      <c r="F1284" s="5"/>
      <c r="G1284" s="5"/>
      <c r="H1284" s="5"/>
      <c r="I1284" s="5"/>
      <c r="J1284" s="5"/>
      <c r="K1284" s="5"/>
      <c r="L1284" s="5"/>
      <c r="M1284" s="5"/>
      <c r="N1284" s="5"/>
      <c r="O1284" s="5"/>
      <c r="P1284" s="5"/>
      <c r="Q1284" s="5"/>
      <c r="R1284" s="5"/>
      <c r="S1284" s="5"/>
      <c r="T1284" s="5"/>
      <c r="U1284" s="5"/>
      <c r="V1284" s="5"/>
      <c r="W1284" s="5"/>
      <c r="X1284" s="5"/>
      <c r="Y1284" s="5"/>
      <c r="Z1284" s="5"/>
    </row>
    <row r="1285" spans="1:26" ht="15.6" x14ac:dyDescent="0.3">
      <c r="A1285" s="18" t="s">
        <v>23</v>
      </c>
      <c r="B1285" s="25" t="s">
        <v>1289</v>
      </c>
      <c r="C1285" s="2" t="str">
        <f ca="1">IFERROR(__xludf.DUMMYFUNCTION("GOOGLETRANSLATE(B1285, ""bn"", ""en"")"),"As a Muslim, I strongly condemn and protest this incident. Puja celebration committee's indifference and public safety of the authorities is not responsible behind this?")</f>
        <v>As a Muslim, I strongly condemn and protest this incident. Puja celebration committee's indifference and public safety of the authorities is not responsible behind this?</v>
      </c>
      <c r="D1285" s="5"/>
      <c r="E1285" s="5"/>
      <c r="F1285" s="5"/>
      <c r="G1285" s="5"/>
      <c r="H1285" s="5"/>
      <c r="I1285" s="5"/>
      <c r="J1285" s="5"/>
      <c r="K1285" s="5"/>
      <c r="L1285" s="5"/>
      <c r="M1285" s="5"/>
      <c r="N1285" s="5"/>
      <c r="O1285" s="5"/>
      <c r="P1285" s="5"/>
      <c r="Q1285" s="5"/>
      <c r="R1285" s="5"/>
      <c r="S1285" s="5"/>
      <c r="T1285" s="5"/>
      <c r="U1285" s="5"/>
      <c r="V1285" s="5"/>
      <c r="W1285" s="5"/>
      <c r="X1285" s="5"/>
      <c r="Y1285" s="5"/>
      <c r="Z1285" s="5"/>
    </row>
    <row r="1286" spans="1:26" ht="15.6" x14ac:dyDescent="0.3">
      <c r="A1286" s="18" t="s">
        <v>3</v>
      </c>
      <c r="B1286" s="25" t="s">
        <v>1290</v>
      </c>
      <c r="C1286" s="2" t="str">
        <f ca="1">IFERROR(__xludf.DUMMYFUNCTION("GOOGLETRANSLATE(B1286, ""bn"", ""en"")"),"Dhaka was a predominantly Hindu village, with a famous Kali temple. Bakbak Chakraborty, also known as Nakra Tagore, was a spiritual person revered by all.")</f>
        <v>Dhaka was a predominantly Hindu village, with a famous Kali temple. Bakbak Chakraborty, also known as Nakra Tagore, was a spiritual person revered by all.</v>
      </c>
      <c r="D1286" s="2"/>
      <c r="E1286" s="2"/>
      <c r="F1286" s="2"/>
      <c r="G1286" s="2"/>
      <c r="H1286" s="5"/>
      <c r="I1286" s="5"/>
      <c r="J1286" s="5"/>
      <c r="K1286" s="5"/>
      <c r="L1286" s="5"/>
      <c r="M1286" s="5"/>
      <c r="N1286" s="5"/>
      <c r="O1286" s="5"/>
      <c r="P1286" s="5"/>
      <c r="Q1286" s="5"/>
      <c r="R1286" s="5"/>
      <c r="S1286" s="5"/>
      <c r="T1286" s="5"/>
      <c r="U1286" s="5"/>
      <c r="V1286" s="5"/>
      <c r="W1286" s="5"/>
      <c r="X1286" s="5"/>
      <c r="Y1286" s="5"/>
      <c r="Z1286" s="5"/>
    </row>
    <row r="1287" spans="1:26" ht="15.6" x14ac:dyDescent="0.3">
      <c r="A1287" s="18" t="s">
        <v>23</v>
      </c>
      <c r="B1287" s="25" t="s">
        <v>1291</v>
      </c>
      <c r="C1287" s="2" t="str">
        <f ca="1">IFERROR(__xludf.DUMMYFUNCTION("GOOGLETRANSLATE(B1287, ""bn"", ""en"")"),"Hindu extremists deliberately throw paint to humiliate Muslim families in public—part of a plan to humiliate Muslims.")</f>
        <v>Hindu extremists deliberately throw paint to humiliate Muslim families in public—part of a plan to humiliate Muslims.</v>
      </c>
      <c r="D1287" s="5"/>
      <c r="E1287" s="5"/>
      <c r="F1287" s="5"/>
      <c r="G1287" s="5"/>
      <c r="H1287" s="5"/>
      <c r="I1287" s="5"/>
      <c r="J1287" s="5"/>
      <c r="K1287" s="5"/>
      <c r="L1287" s="5"/>
      <c r="M1287" s="5"/>
      <c r="N1287" s="5"/>
      <c r="O1287" s="5"/>
      <c r="P1287" s="5"/>
      <c r="Q1287" s="5"/>
      <c r="R1287" s="5"/>
      <c r="S1287" s="5"/>
      <c r="T1287" s="5"/>
      <c r="U1287" s="5"/>
      <c r="V1287" s="5"/>
      <c r="W1287" s="5"/>
      <c r="X1287" s="5"/>
      <c r="Y1287" s="5"/>
      <c r="Z1287" s="5"/>
    </row>
    <row r="1288" spans="1:26" ht="15.6" x14ac:dyDescent="0.3">
      <c r="A1288" s="18" t="s">
        <v>3</v>
      </c>
      <c r="B1288" s="25" t="s">
        <v>1292</v>
      </c>
      <c r="C1288" s="2" t="str">
        <f ca="1">IFERROR(__xludf.DUMMYFUNCTION("GOOGLETRANSLATE(B1288, ""bn"", ""en"")"),"The people of the zamindar house were very aware of Islam. There was a separate resting room for the house's sons-in-law, they used to come there but could not enter inside.")</f>
        <v>The people of the zamindar house were very aware of Islam. There was a separate resting room for the house's sons-in-law, they used to come there but could not enter inside.</v>
      </c>
      <c r="D1288" s="5"/>
      <c r="E1288" s="5"/>
      <c r="F1288" s="5"/>
      <c r="G1288" s="5"/>
      <c r="H1288" s="5"/>
      <c r="I1288" s="5"/>
      <c r="J1288" s="5"/>
      <c r="K1288" s="5"/>
      <c r="L1288" s="5"/>
      <c r="M1288" s="5"/>
      <c r="N1288" s="5"/>
      <c r="O1288" s="5"/>
      <c r="P1288" s="5"/>
      <c r="Q1288" s="5"/>
      <c r="R1288" s="5"/>
      <c r="S1288" s="5"/>
      <c r="T1288" s="5"/>
      <c r="U1288" s="5"/>
      <c r="V1288" s="5"/>
      <c r="W1288" s="5"/>
      <c r="X1288" s="5"/>
      <c r="Y1288" s="5"/>
      <c r="Z1288" s="5"/>
    </row>
    <row r="1289" spans="1:26" ht="15.6" x14ac:dyDescent="0.3">
      <c r="A1289" s="18" t="s">
        <v>8</v>
      </c>
      <c r="B1289" s="25" t="s">
        <v>1293</v>
      </c>
      <c r="C1289" s="2" t="str">
        <f ca="1">IFERROR(__xludf.DUMMYFUNCTION("GOOGLETRANSLATE(B1289, ""bn"", ""en"")"),"In 1992, when the Babri Masjid was demolished in Ayodhya, Hindu-Muslim conflict spread across the country")</f>
        <v>In 1992, when the Babri Masjid was demolished in Ayodhya, Hindu-Muslim conflict spread across the country</v>
      </c>
      <c r="D1289" s="2"/>
      <c r="E1289" s="2"/>
      <c r="F1289" s="2"/>
      <c r="G1289" s="2"/>
      <c r="H1289" s="3"/>
      <c r="I1289" s="3"/>
      <c r="J1289" s="3"/>
      <c r="K1289" s="3"/>
      <c r="L1289" s="3"/>
      <c r="M1289" s="3"/>
      <c r="N1289" s="3"/>
      <c r="O1289" s="3"/>
      <c r="P1289" s="3"/>
      <c r="Q1289" s="3"/>
      <c r="R1289" s="3"/>
      <c r="S1289" s="3"/>
      <c r="T1289" s="3"/>
      <c r="U1289" s="3"/>
      <c r="V1289" s="3"/>
      <c r="W1289" s="3"/>
      <c r="X1289" s="3"/>
      <c r="Y1289" s="3"/>
      <c r="Z1289" s="3"/>
    </row>
    <row r="1290" spans="1:26" ht="15.6" x14ac:dyDescent="0.3">
      <c r="A1290" s="18" t="s">
        <v>5</v>
      </c>
      <c r="B1290" s="25" t="s">
        <v>1294</v>
      </c>
      <c r="C1290" s="2" t="str">
        <f ca="1">IFERROR(__xludf.DUMMYFUNCTION("GOOGLETRANSLATE(B1290, ""bn"", ""en"")"),"The Cotton Mills massacre is believed to have killed 1,000 or more, with Hindus being the primary victims.")</f>
        <v>The Cotton Mills massacre is believed to have killed 1,000 or more, with Hindus being the primary victims.</v>
      </c>
      <c r="D1290" s="2"/>
      <c r="E1290" s="2"/>
      <c r="F1290" s="2"/>
      <c r="G1290" s="2"/>
      <c r="H1290" s="3"/>
      <c r="I1290" s="3"/>
      <c r="J1290" s="3"/>
      <c r="K1290" s="3"/>
      <c r="L1290" s="3"/>
      <c r="M1290" s="3"/>
      <c r="N1290" s="3"/>
      <c r="O1290" s="3"/>
      <c r="P1290" s="3"/>
      <c r="Q1290" s="3"/>
      <c r="R1290" s="3"/>
      <c r="S1290" s="3"/>
      <c r="T1290" s="3"/>
      <c r="U1290" s="3"/>
      <c r="V1290" s="3"/>
      <c r="W1290" s="3"/>
      <c r="X1290" s="3"/>
      <c r="Y1290" s="3"/>
      <c r="Z1290" s="3"/>
    </row>
    <row r="1291" spans="1:26" ht="15.6" x14ac:dyDescent="0.3">
      <c r="A1291" s="19" t="s">
        <v>23</v>
      </c>
      <c r="B1291" s="26" t="s">
        <v>1295</v>
      </c>
      <c r="C1291" s="2" t="str">
        <f ca="1">IFERROR(__xludf.DUMMYFUNCTION("GOOGLETRANSLATE(B1291, ""bn"", ""en"")"),"Many innocent people were arrested due to this incident. In particular, he alleged that many Muslim residents were evicted from their homes by false accusations, many citing personal enmity.")</f>
        <v>Many innocent people were arrested due to this incident. In particular, he alleged that many Muslim residents were evicted from their homes by false accusations, many citing personal enmity.</v>
      </c>
      <c r="D1291" s="5"/>
      <c r="E1291" s="5"/>
      <c r="F1291" s="5"/>
      <c r="G1291" s="5"/>
      <c r="H1291" s="5"/>
      <c r="I1291" s="5"/>
      <c r="J1291" s="5"/>
      <c r="K1291" s="5"/>
      <c r="L1291" s="5"/>
      <c r="M1291" s="5"/>
      <c r="N1291" s="5"/>
      <c r="O1291" s="5"/>
      <c r="P1291" s="5"/>
      <c r="Q1291" s="5"/>
      <c r="R1291" s="5"/>
      <c r="S1291" s="5"/>
      <c r="T1291" s="5"/>
      <c r="U1291" s="5"/>
      <c r="V1291" s="5"/>
      <c r="W1291" s="5"/>
      <c r="X1291" s="5"/>
      <c r="Y1291" s="5"/>
      <c r="Z1291" s="5"/>
    </row>
    <row r="1292" spans="1:26" ht="15.6" x14ac:dyDescent="0.3">
      <c r="A1292" s="18" t="s">
        <v>8</v>
      </c>
      <c r="B1292" s="24" t="s">
        <v>1296</v>
      </c>
      <c r="C1292" s="2" t="str">
        <f ca="1">IFERROR(__xludf.DUMMYFUNCTION("GOOGLETRANSLATE(B1292, ""bn"", ""en"")"),"Miscreants poured liquid pitch on Krishnamurti in Barisal and tried to break it, locals reacted quickly.")</f>
        <v>Miscreants poured liquid pitch on Krishnamurti in Barisal and tried to break it, locals reacted quickly.</v>
      </c>
      <c r="D1292" s="5"/>
      <c r="E1292" s="5"/>
      <c r="F1292" s="5"/>
      <c r="G1292" s="5"/>
      <c r="H1292" s="5"/>
      <c r="I1292" s="5"/>
      <c r="J1292" s="5"/>
      <c r="K1292" s="5"/>
      <c r="L1292" s="5"/>
      <c r="M1292" s="5"/>
      <c r="N1292" s="5"/>
      <c r="O1292" s="5"/>
      <c r="P1292" s="5"/>
      <c r="Q1292" s="5"/>
      <c r="R1292" s="5"/>
      <c r="S1292" s="5"/>
      <c r="T1292" s="5"/>
      <c r="U1292" s="5"/>
      <c r="V1292" s="5"/>
      <c r="W1292" s="5"/>
      <c r="X1292" s="5"/>
      <c r="Y1292" s="5"/>
      <c r="Z1292" s="5"/>
    </row>
    <row r="1293" spans="1:26" ht="15.6" x14ac:dyDescent="0.3">
      <c r="A1293" s="18" t="s">
        <v>5</v>
      </c>
      <c r="B1293" s="24" t="s">
        <v>1297</v>
      </c>
      <c r="C1293" s="2" t="str">
        <f ca="1">IFERROR(__xludf.DUMMYFUNCTION("GOOGLETRANSLATE(B1293, ""bn"", ""en"")"),"A pregnant woman was killed in religious violence because she wanted to raise her child in a different religion; 10 people were killed in the attack.")</f>
        <v>A pregnant woman was killed in religious violence because she wanted to raise her child in a different religion; 10 people were killed in the attack.</v>
      </c>
      <c r="D1293" s="5"/>
      <c r="E1293" s="5"/>
      <c r="F1293" s="5"/>
      <c r="G1293" s="5"/>
      <c r="H1293" s="5"/>
      <c r="I1293" s="5"/>
      <c r="J1293" s="5"/>
      <c r="K1293" s="5"/>
      <c r="L1293" s="5"/>
      <c r="M1293" s="5"/>
      <c r="N1293" s="5"/>
      <c r="O1293" s="5"/>
      <c r="P1293" s="5"/>
      <c r="Q1293" s="5"/>
      <c r="R1293" s="5"/>
      <c r="S1293" s="5"/>
      <c r="T1293" s="5"/>
      <c r="U1293" s="5"/>
      <c r="V1293" s="5"/>
      <c r="W1293" s="5"/>
      <c r="X1293" s="5"/>
      <c r="Y1293" s="5"/>
      <c r="Z1293" s="5"/>
    </row>
    <row r="1294" spans="1:26" ht="15.6" x14ac:dyDescent="0.3">
      <c r="A1294" s="18" t="s">
        <v>5</v>
      </c>
      <c r="B1294" s="24" t="s">
        <v>1298</v>
      </c>
      <c r="C1294" s="2" t="str">
        <f ca="1">IFERROR(__xludf.DUMMYFUNCTION("GOOGLETRANSLATE(B1294, ""bn"", ""en"")"),"45 people from minority community were killed by religious extremists in Natore. They burnt temples and houses and many people were injured. Administration failed to take appropriate action.")</f>
        <v>45 people from minority community were killed by religious extremists in Natore. They burnt temples and houses and many people were injured. Administration failed to take appropriate action.</v>
      </c>
      <c r="D1294" s="5"/>
      <c r="E1294" s="5"/>
      <c r="F1294" s="5"/>
      <c r="G1294" s="5"/>
      <c r="H1294" s="5"/>
      <c r="I1294" s="5"/>
      <c r="J1294" s="5"/>
      <c r="K1294" s="5"/>
      <c r="L1294" s="5"/>
      <c r="M1294" s="5"/>
      <c r="N1294" s="5"/>
      <c r="O1294" s="5"/>
      <c r="P1294" s="5"/>
      <c r="Q1294" s="5"/>
      <c r="R1294" s="5"/>
      <c r="S1294" s="5"/>
      <c r="T1294" s="5"/>
      <c r="U1294" s="5"/>
      <c r="V1294" s="5"/>
      <c r="W1294" s="5"/>
      <c r="X1294" s="5"/>
      <c r="Y1294" s="5"/>
      <c r="Z1294" s="5"/>
    </row>
    <row r="1295" spans="1:26" ht="15.6" x14ac:dyDescent="0.3">
      <c r="A1295" s="18" t="s">
        <v>5</v>
      </c>
      <c r="B1295" s="25" t="s">
        <v>1299</v>
      </c>
      <c r="C1295" s="2" t="str">
        <f ca="1">IFERROR(__xludf.DUMMYFUNCTION("GOOGLETRANSLATE(B1295, ""bn"", ""en"")"),"Many Hindus were brutally killed by Muslims. A group of them went on a wild rampage of killing, rape, abduction, looting and destruction on the Hindu community of Khulna for the next four days.")</f>
        <v>Many Hindus were brutally killed by Muslims. A group of them went on a wild rampage of killing, rape, abduction, looting and destruction on the Hindu community of Khulna for the next four days.</v>
      </c>
      <c r="D1295" s="2"/>
      <c r="E1295" s="2"/>
      <c r="F1295" s="2"/>
      <c r="G1295" s="2"/>
      <c r="H1295" s="5"/>
      <c r="I1295" s="5"/>
      <c r="J1295" s="5"/>
      <c r="K1295" s="5"/>
      <c r="L1295" s="5"/>
      <c r="M1295" s="5"/>
      <c r="N1295" s="5"/>
      <c r="O1295" s="5"/>
      <c r="P1295" s="5"/>
      <c r="Q1295" s="5"/>
      <c r="R1295" s="5"/>
      <c r="S1295" s="5"/>
      <c r="T1295" s="5"/>
      <c r="U1295" s="5"/>
      <c r="V1295" s="5"/>
      <c r="W1295" s="5"/>
      <c r="X1295" s="5"/>
      <c r="Y1295" s="5"/>
      <c r="Z1295" s="5"/>
    </row>
    <row r="1296" spans="1:26" ht="15.6" x14ac:dyDescent="0.3">
      <c r="A1296" s="18" t="s">
        <v>5</v>
      </c>
      <c r="B1296" s="24" t="s">
        <v>1300</v>
      </c>
      <c r="C1296" s="2" t="str">
        <f ca="1">IFERROR(__xludf.DUMMYFUNCTION("GOOGLETRANSLATE(B1296, ""bn"", ""en"")"),"In September 2018, a school in a village rioted due to religious conflict between Hindu and Muslim students. At least 24 people, mostly children and students, were killed in the clashes.")</f>
        <v>In September 2018, a school in a village rioted due to religious conflict between Hindu and Muslim students. At least 24 people, mostly children and students, were killed in the clashes.</v>
      </c>
      <c r="D1296" s="5"/>
      <c r="E1296" s="5"/>
      <c r="F1296" s="5"/>
      <c r="G1296" s="5"/>
      <c r="H1296" s="5"/>
      <c r="I1296" s="5"/>
      <c r="J1296" s="5"/>
      <c r="K1296" s="5"/>
      <c r="L1296" s="5"/>
      <c r="M1296" s="5"/>
      <c r="N1296" s="5"/>
      <c r="O1296" s="5"/>
      <c r="P1296" s="5"/>
      <c r="Q1296" s="5"/>
      <c r="R1296" s="5"/>
      <c r="S1296" s="5"/>
      <c r="T1296" s="5"/>
      <c r="U1296" s="5"/>
      <c r="V1296" s="5"/>
      <c r="W1296" s="5"/>
      <c r="X1296" s="5"/>
      <c r="Y1296" s="5"/>
      <c r="Z1296" s="5"/>
    </row>
    <row r="1297" spans="1:26" ht="15.6" x14ac:dyDescent="0.3">
      <c r="A1297" s="18" t="s">
        <v>5</v>
      </c>
      <c r="B1297" s="24" t="s">
        <v>1301</v>
      </c>
      <c r="C1297" s="2" t="str">
        <f ca="1">IFERROR(__xludf.DUMMYFUNCTION("GOOGLETRANSLATE(B1297, ""bn"", ""en"")"),"Homesteads, temples and holy places of minority Hindus were set on fire in Kishoreganj due to religious hatred. 43 people were killed in the clash. Security forces failed to quell the attackers, leading to communal tensions in the area.")</f>
        <v>Homesteads, temples and holy places of minority Hindus were set on fire in Kishoreganj due to religious hatred. 43 people were killed in the clash. Security forces failed to quell the attackers, leading to communal tensions in the area.</v>
      </c>
      <c r="D1297" s="5"/>
      <c r="E1297" s="5"/>
      <c r="F1297" s="5"/>
      <c r="G1297" s="5"/>
      <c r="H1297" s="5"/>
      <c r="I1297" s="5"/>
      <c r="J1297" s="5"/>
      <c r="K1297" s="5"/>
      <c r="L1297" s="5"/>
      <c r="M1297" s="5"/>
      <c r="N1297" s="5"/>
      <c r="O1297" s="5"/>
      <c r="P1297" s="5"/>
      <c r="Q1297" s="5"/>
      <c r="R1297" s="5"/>
      <c r="S1297" s="5"/>
      <c r="T1297" s="5"/>
      <c r="U1297" s="5"/>
      <c r="V1297" s="5"/>
      <c r="W1297" s="5"/>
      <c r="X1297" s="5"/>
      <c r="Y1297" s="5"/>
      <c r="Z1297" s="5"/>
    </row>
    <row r="1298" spans="1:26" ht="15.6" x14ac:dyDescent="0.3">
      <c r="A1298" s="19" t="s">
        <v>8</v>
      </c>
      <c r="B1298" s="26" t="s">
        <v>1302</v>
      </c>
      <c r="C1298" s="2" t="str">
        <f ca="1">IFERROR(__xludf.DUMMYFUNCTION("GOOGLETRANSLATE(B1298, ""bn"", ""en"")"),"Since politics is involved in this communal violence, the problem will not be solved as long as religion is politicized in this country. However, the government has not taken adequate security measures even though it is known, it may be an attempt to take"&amp;" political advantage.")</f>
        <v>Since politics is involved in this communal violence, the problem will not be solved as long as religion is politicized in this country. However, the government has not taken adequate security measures even though it is known, it may be an attempt to take political advantage.</v>
      </c>
      <c r="D1298" s="7"/>
      <c r="E1298" s="7"/>
      <c r="F1298" s="5"/>
      <c r="G1298" s="5"/>
      <c r="H1298" s="5"/>
      <c r="I1298" s="5"/>
      <c r="J1298" s="5"/>
      <c r="K1298" s="5"/>
      <c r="L1298" s="5"/>
      <c r="M1298" s="5"/>
      <c r="N1298" s="5"/>
      <c r="O1298" s="5"/>
      <c r="P1298" s="5"/>
      <c r="Q1298" s="5"/>
      <c r="R1298" s="5"/>
      <c r="S1298" s="5"/>
      <c r="T1298" s="5"/>
      <c r="U1298" s="5"/>
      <c r="V1298" s="5"/>
      <c r="W1298" s="5"/>
      <c r="X1298" s="5"/>
      <c r="Y1298" s="5"/>
      <c r="Z1298" s="5"/>
    </row>
    <row r="1299" spans="1:26" ht="15.6" x14ac:dyDescent="0.3">
      <c r="A1299" s="18" t="s">
        <v>23</v>
      </c>
      <c r="B1299" s="25" t="s">
        <v>1303</v>
      </c>
      <c r="C1299" s="2" t="str">
        <f ca="1">IFERROR(__xludf.DUMMYFUNCTION("GOOGLETRANSLATE(B1299, ""bn"", ""en"")"),"In Islam, women are not given equal rights to inherit property, and Islam does not recognize women's leadership in political leadership.")</f>
        <v>In Islam, women are not given equal rights to inherit property, and Islam does not recognize women's leadership in political leadership.</v>
      </c>
      <c r="D1299" s="2"/>
      <c r="E1299" s="2"/>
      <c r="F1299" s="2"/>
      <c r="G1299" s="2"/>
      <c r="H1299" s="5"/>
      <c r="I1299" s="5"/>
      <c r="J1299" s="5"/>
      <c r="K1299" s="5"/>
      <c r="L1299" s="5"/>
      <c r="M1299" s="5"/>
      <c r="N1299" s="5"/>
      <c r="O1299" s="5"/>
      <c r="P1299" s="5"/>
      <c r="Q1299" s="5"/>
      <c r="R1299" s="5"/>
      <c r="S1299" s="5"/>
      <c r="T1299" s="5"/>
      <c r="U1299" s="5"/>
      <c r="V1299" s="5"/>
      <c r="W1299" s="5"/>
      <c r="X1299" s="5"/>
      <c r="Y1299" s="5"/>
      <c r="Z1299" s="5"/>
    </row>
    <row r="1300" spans="1:26" ht="15.6" x14ac:dyDescent="0.3">
      <c r="A1300" s="19" t="s">
        <v>5</v>
      </c>
      <c r="B1300" s="26" t="s">
        <v>1304</v>
      </c>
      <c r="C1300" s="2" t="str">
        <f ca="1">IFERROR(__xludf.DUMMYFUNCTION("GOOGLETRANSLATE(B1300, ""bn"", ""en"")"),"In Bangladesh there have been incidents of violence against the Muslim community, sometimes motivated by religious identity.")</f>
        <v>In Bangladesh there have been incidents of violence against the Muslim community, sometimes motivated by religious identity.</v>
      </c>
      <c r="D1300" s="7"/>
      <c r="E1300" s="7"/>
      <c r="F1300" s="7"/>
      <c r="G1300" s="7"/>
      <c r="H1300" s="7"/>
      <c r="I1300" s="5"/>
      <c r="J1300" s="5"/>
      <c r="K1300" s="5"/>
      <c r="L1300" s="5"/>
      <c r="M1300" s="5"/>
      <c r="N1300" s="5"/>
      <c r="O1300" s="5"/>
      <c r="P1300" s="5"/>
      <c r="Q1300" s="5"/>
      <c r="R1300" s="5"/>
      <c r="S1300" s="5"/>
      <c r="T1300" s="5"/>
      <c r="U1300" s="5"/>
      <c r="V1300" s="5"/>
      <c r="W1300" s="5"/>
      <c r="X1300" s="5"/>
      <c r="Y1300" s="5"/>
      <c r="Z1300" s="5"/>
    </row>
    <row r="1301" spans="1:26" ht="15.6" x14ac:dyDescent="0.3">
      <c r="A1301" s="18" t="s">
        <v>8</v>
      </c>
      <c r="B1301" s="24" t="s">
        <v>1305</v>
      </c>
      <c r="C1301" s="2" t="str">
        <f ca="1">IFERROR(__xludf.DUMMYFUNCTION("GOOGLETRANSLATE(B1301, ""bn"", ""en"")"),"In Rangpur, an unidentified radical group created obscene and hateful rumors on the wall of a mosque, stoking religious tension.")</f>
        <v>In Rangpur, an unidentified radical group created obscene and hateful rumors on the wall of a mosque, stoking religious tension.</v>
      </c>
      <c r="D1301" s="5"/>
      <c r="E1301" s="5"/>
      <c r="F1301" s="5"/>
      <c r="G1301" s="5"/>
      <c r="H1301" s="5"/>
      <c r="I1301" s="5"/>
      <c r="J1301" s="5"/>
      <c r="K1301" s="5"/>
      <c r="L1301" s="5"/>
      <c r="M1301" s="5"/>
      <c r="N1301" s="5"/>
      <c r="O1301" s="5"/>
      <c r="P1301" s="5"/>
      <c r="Q1301" s="5"/>
      <c r="R1301" s="5"/>
      <c r="S1301" s="5"/>
      <c r="T1301" s="5"/>
      <c r="U1301" s="5"/>
      <c r="V1301" s="5"/>
      <c r="W1301" s="5"/>
      <c r="X1301" s="5"/>
      <c r="Y1301" s="5"/>
      <c r="Z1301" s="5"/>
    </row>
    <row r="1302" spans="1:26" ht="15.6" x14ac:dyDescent="0.3">
      <c r="A1302" s="19" t="s">
        <v>8</v>
      </c>
      <c r="B1302" s="26" t="s">
        <v>1306</v>
      </c>
      <c r="C1302" s="2" t="str">
        <f ca="1">IFERROR(__xludf.DUMMYFUNCTION("GOOGLETRANSLATE(B1302, ""bn"", ""en"")"),"On religious festival day in Brahmanbaria, miscreants broke into Hindu houses and stole women's ornaments, vandalized idols.")</f>
        <v>On religious festival day in Brahmanbaria, miscreants broke into Hindu houses and stole women's ornaments, vandalized idols.</v>
      </c>
      <c r="D1302" s="5"/>
      <c r="E1302" s="5"/>
      <c r="F1302" s="5"/>
      <c r="G1302" s="5"/>
      <c r="H1302" s="5"/>
      <c r="I1302" s="5"/>
      <c r="J1302" s="5"/>
      <c r="K1302" s="5"/>
      <c r="L1302" s="5"/>
      <c r="M1302" s="5"/>
      <c r="N1302" s="5"/>
      <c r="O1302" s="5"/>
      <c r="P1302" s="5"/>
      <c r="Q1302" s="5"/>
      <c r="R1302" s="5"/>
      <c r="S1302" s="5"/>
      <c r="T1302" s="5"/>
      <c r="U1302" s="5"/>
      <c r="V1302" s="5"/>
      <c r="W1302" s="5"/>
      <c r="X1302" s="5"/>
      <c r="Y1302" s="5"/>
      <c r="Z1302" s="5"/>
    </row>
    <row r="1303" spans="1:26" ht="15.6" x14ac:dyDescent="0.3">
      <c r="A1303" s="18" t="s">
        <v>23</v>
      </c>
      <c r="B1303" s="24" t="s">
        <v>1307</v>
      </c>
      <c r="C1303" s="2" t="str">
        <f ca="1">IFERROR(__xludf.DUMMYFUNCTION("GOOGLETRANSLATE(B1303, ""bn"", ""en"")"),"Christian missionaries are damaging religious unity and creating division in the country in the name of conversion.")</f>
        <v>Christian missionaries are damaging religious unity and creating division in the country in the name of conversion.</v>
      </c>
      <c r="D1303" s="5"/>
      <c r="E1303" s="5"/>
      <c r="F1303" s="5"/>
      <c r="G1303" s="5"/>
      <c r="H1303" s="5"/>
      <c r="I1303" s="5"/>
      <c r="J1303" s="5"/>
      <c r="K1303" s="5"/>
      <c r="L1303" s="5"/>
      <c r="M1303" s="5"/>
      <c r="N1303" s="5"/>
      <c r="O1303" s="5"/>
      <c r="P1303" s="5"/>
      <c r="Q1303" s="5"/>
      <c r="R1303" s="5"/>
      <c r="S1303" s="5"/>
      <c r="T1303" s="5"/>
      <c r="U1303" s="5"/>
      <c r="V1303" s="5"/>
      <c r="W1303" s="5"/>
      <c r="X1303" s="5"/>
      <c r="Y1303" s="5"/>
      <c r="Z1303" s="5"/>
    </row>
    <row r="1304" spans="1:26" ht="15.6" x14ac:dyDescent="0.3">
      <c r="A1304" s="18" t="s">
        <v>3</v>
      </c>
      <c r="B1304" s="25" t="s">
        <v>1308</v>
      </c>
      <c r="C1304" s="2" t="str">
        <f ca="1">IFERROR(__xludf.DUMMYFUNCTION("GOOGLETRANSLATE(B1304, ""bn"", ""en"")"),"Religion creates a sense of peace in man, which frees him from all kinds of turmoil in life. It teaches people to understand and respect each other.")</f>
        <v>Religion creates a sense of peace in man, which frees him from all kinds of turmoil in life. It teaches people to understand and respect each other.</v>
      </c>
      <c r="D1304" s="2"/>
      <c r="E1304" s="2"/>
      <c r="F1304" s="2"/>
      <c r="G1304" s="2"/>
      <c r="H1304" s="3"/>
      <c r="I1304" s="3"/>
      <c r="J1304" s="3"/>
      <c r="K1304" s="3"/>
      <c r="L1304" s="3"/>
      <c r="M1304" s="3"/>
      <c r="N1304" s="3"/>
      <c r="O1304" s="3"/>
      <c r="P1304" s="3"/>
      <c r="Q1304" s="3"/>
      <c r="R1304" s="3"/>
      <c r="S1304" s="3"/>
      <c r="T1304" s="3"/>
      <c r="U1304" s="3"/>
      <c r="V1304" s="3"/>
      <c r="W1304" s="3"/>
      <c r="X1304" s="3"/>
      <c r="Y1304" s="3"/>
      <c r="Z1304" s="3"/>
    </row>
    <row r="1305" spans="1:26" ht="15.6" x14ac:dyDescent="0.3">
      <c r="A1305" s="18" t="s">
        <v>3</v>
      </c>
      <c r="B1305" s="25" t="s">
        <v>1309</v>
      </c>
      <c r="C1305" s="2" t="str">
        <f ca="1">IFERROR(__xludf.DUMMYFUNCTION("GOOGLETRANSLATE(B1305, ""bn"", ""en"")"),"He will follow his religion without fear. Certainly not to hurt anyone's religious sentiments. In this regard, strict law enforcement is very important. Many thanks to the honorable court.")</f>
        <v>He will follow his religion without fear. Certainly not to hurt anyone's religious sentiments. In this regard, strict law enforcement is very important. Many thanks to the honorable court.</v>
      </c>
      <c r="D1305" s="2"/>
      <c r="E1305" s="2"/>
      <c r="F1305" s="2"/>
      <c r="G1305" s="2"/>
      <c r="H1305" s="3"/>
      <c r="I1305" s="3"/>
      <c r="J1305" s="3"/>
      <c r="K1305" s="3"/>
      <c r="L1305" s="3"/>
      <c r="M1305" s="3"/>
      <c r="N1305" s="3"/>
      <c r="O1305" s="3"/>
      <c r="P1305" s="3"/>
      <c r="Q1305" s="3"/>
      <c r="R1305" s="3"/>
      <c r="S1305" s="3"/>
      <c r="T1305" s="3"/>
      <c r="U1305" s="3"/>
      <c r="V1305" s="3"/>
      <c r="W1305" s="3"/>
      <c r="X1305" s="3"/>
      <c r="Y1305" s="3"/>
      <c r="Z1305" s="3"/>
    </row>
    <row r="1306" spans="1:26" ht="15.6" x14ac:dyDescent="0.3">
      <c r="A1306" s="18" t="s">
        <v>23</v>
      </c>
      <c r="B1306" s="25" t="s">
        <v>1310</v>
      </c>
      <c r="C1306" s="2" t="str">
        <f ca="1">IFERROR(__xludf.DUMMYFUNCTION("GOOGLETRANSLATE(B1306, ""bn"", ""en"")"),"Islam is a religion of peace and no act of unrest will be tolerated here, all those involved in this heinous act should be arrested and punished severely.")</f>
        <v>Islam is a religion of peace and no act of unrest will be tolerated here, all those involved in this heinous act should be arrested and punished severely.</v>
      </c>
      <c r="D1306" s="2"/>
      <c r="E1306" s="2"/>
      <c r="F1306" s="2"/>
      <c r="G1306" s="2"/>
      <c r="H1306" s="5"/>
      <c r="I1306" s="5"/>
      <c r="J1306" s="5"/>
      <c r="K1306" s="5"/>
      <c r="L1306" s="5"/>
      <c r="M1306" s="5"/>
      <c r="N1306" s="5"/>
      <c r="O1306" s="5"/>
      <c r="P1306" s="5"/>
      <c r="Q1306" s="5"/>
      <c r="R1306" s="5"/>
      <c r="S1306" s="5"/>
      <c r="T1306" s="5"/>
      <c r="U1306" s="5"/>
      <c r="V1306" s="5"/>
      <c r="W1306" s="5"/>
      <c r="X1306" s="5"/>
      <c r="Y1306" s="5"/>
      <c r="Z1306" s="5"/>
    </row>
    <row r="1307" spans="1:26" ht="15.6" x14ac:dyDescent="0.3">
      <c r="A1307" s="18" t="s">
        <v>23</v>
      </c>
      <c r="B1307" s="24" t="s">
        <v>1311</v>
      </c>
      <c r="C1307" s="2" t="str">
        <f ca="1">IFERROR(__xludf.DUMMYFUNCTION("GOOGLETRANSLATE(B1307, ""bn"", ""en"")"),"Christian missionaries are creating division and religious unrest in the society in the name of conversion which damages the social unity of the country.")</f>
        <v>Christian missionaries are creating division and religious unrest in the society in the name of conversion which damages the social unity of the country.</v>
      </c>
      <c r="D1307" s="5"/>
      <c r="E1307" s="5"/>
      <c r="F1307" s="5"/>
      <c r="G1307" s="5"/>
      <c r="H1307" s="5"/>
      <c r="I1307" s="5"/>
      <c r="J1307" s="5"/>
      <c r="K1307" s="5"/>
      <c r="L1307" s="5"/>
      <c r="M1307" s="5"/>
      <c r="N1307" s="5"/>
      <c r="O1307" s="5"/>
      <c r="P1307" s="5"/>
      <c r="Q1307" s="5"/>
      <c r="R1307" s="5"/>
      <c r="S1307" s="5"/>
      <c r="T1307" s="5"/>
      <c r="U1307" s="5"/>
      <c r="V1307" s="5"/>
      <c r="W1307" s="5"/>
      <c r="X1307" s="5"/>
      <c r="Y1307" s="5"/>
      <c r="Z1307" s="5"/>
    </row>
    <row r="1308" spans="1:26" ht="15.6" x14ac:dyDescent="0.3">
      <c r="A1308" s="19" t="s">
        <v>8</v>
      </c>
      <c r="B1308" s="26" t="s">
        <v>1312</v>
      </c>
      <c r="C1308" s="2" t="str">
        <f ca="1">IFERROR(__xludf.DUMMYFUNCTION("GOOGLETRANSLATE(B1308, ""bn"", ""en"")"),"In 2015, a group of people set fire to a local church in Paikgacha, Khulna, after spreading rumors that a caricature of a religious book had been shared on Facebook.")</f>
        <v>In 2015, a group of people set fire to a local church in Paikgacha, Khulna, after spreading rumors that a caricature of a religious book had been shared on Facebook.</v>
      </c>
      <c r="D1308" s="5"/>
      <c r="E1308" s="5"/>
      <c r="F1308" s="5"/>
      <c r="G1308" s="5"/>
      <c r="H1308" s="5"/>
      <c r="I1308" s="5"/>
      <c r="J1308" s="5"/>
      <c r="K1308" s="5"/>
      <c r="L1308" s="5"/>
      <c r="M1308" s="5"/>
      <c r="N1308" s="5"/>
      <c r="O1308" s="5"/>
      <c r="P1308" s="5"/>
      <c r="Q1308" s="5"/>
      <c r="R1308" s="5"/>
      <c r="S1308" s="5"/>
      <c r="T1308" s="5"/>
      <c r="U1308" s="5"/>
      <c r="V1308" s="5"/>
      <c r="W1308" s="5"/>
      <c r="X1308" s="5"/>
      <c r="Y1308" s="5"/>
      <c r="Z1308" s="5"/>
    </row>
    <row r="1309" spans="1:26" ht="15.6" x14ac:dyDescent="0.3">
      <c r="A1309" s="18" t="s">
        <v>3</v>
      </c>
      <c r="B1309" s="25" t="s">
        <v>1313</v>
      </c>
      <c r="C1309" s="2" t="str">
        <f ca="1">IFERROR(__xludf.DUMMYFUNCTION("GOOGLETRANSLATE(B1309, ""bn"", ""en"")"),"Subhanallah, Alhamdulillah. It is good to see the three people together in the holy Masjid ul Haram.")</f>
        <v>Subhanallah, Alhamdulillah. It is good to see the three people together in the holy Masjid ul Haram.</v>
      </c>
      <c r="D1309" s="5"/>
      <c r="E1309" s="5"/>
      <c r="F1309" s="5"/>
      <c r="G1309" s="5"/>
      <c r="H1309" s="5"/>
      <c r="I1309" s="5"/>
      <c r="J1309" s="5"/>
      <c r="K1309" s="5"/>
      <c r="L1309" s="5"/>
      <c r="M1309" s="5"/>
      <c r="N1309" s="5"/>
      <c r="O1309" s="5"/>
      <c r="P1309" s="5"/>
      <c r="Q1309" s="5"/>
      <c r="R1309" s="5"/>
      <c r="S1309" s="5"/>
      <c r="T1309" s="5"/>
      <c r="U1309" s="5"/>
      <c r="V1309" s="5"/>
      <c r="W1309" s="5"/>
      <c r="X1309" s="5"/>
      <c r="Y1309" s="5"/>
      <c r="Z1309" s="5"/>
    </row>
    <row r="1310" spans="1:26" ht="15.6" x14ac:dyDescent="0.3">
      <c r="A1310" s="19" t="s">
        <v>23</v>
      </c>
      <c r="B1310" s="26" t="s">
        <v>1314</v>
      </c>
      <c r="C1310" s="2" t="str">
        <f ca="1">IFERROR(__xludf.DUMMYFUNCTION("GOOGLETRANSLATE(B1310, ""bn"", ""en"")"),"How cruel they could be to attack like this was unmasked by the war.")</f>
        <v>How cruel they could be to attack like this was unmasked by the war.</v>
      </c>
      <c r="D1310" s="5"/>
      <c r="E1310" s="5"/>
      <c r="F1310" s="5"/>
      <c r="G1310" s="5"/>
      <c r="H1310" s="5"/>
      <c r="I1310" s="5"/>
      <c r="J1310" s="5"/>
      <c r="K1310" s="5"/>
      <c r="L1310" s="5"/>
      <c r="M1310" s="5"/>
      <c r="N1310" s="5"/>
      <c r="O1310" s="5"/>
      <c r="P1310" s="5"/>
      <c r="Q1310" s="5"/>
      <c r="R1310" s="5"/>
      <c r="S1310" s="5"/>
      <c r="T1310" s="5"/>
      <c r="U1310" s="5"/>
      <c r="V1310" s="5"/>
      <c r="W1310" s="5"/>
      <c r="X1310" s="5"/>
      <c r="Y1310" s="5"/>
      <c r="Z1310" s="5"/>
    </row>
    <row r="1311" spans="1:26" ht="15.6" x14ac:dyDescent="0.3">
      <c r="A1311" s="19" t="s">
        <v>5</v>
      </c>
      <c r="B1311" s="26" t="s">
        <v>1315</v>
      </c>
      <c r="C1311" s="2" t="str">
        <f ca="1">IFERROR(__xludf.DUMMYFUNCTION("GOOGLETRANSLATE(B1311, ""bn"", ""en"")"),"The identities of seventy-two people are unknown, the dead were mainly Bengali Hindu-Muslim and Awami League members or supporters of independence. A marble plaque was erected in their memory in 1992, listing the names of 72 people who died and six who di"&amp;"ed elsewhere.")</f>
        <v>The identities of seventy-two people are unknown, the dead were mainly Bengali Hindu-Muslim and Awami League members or supporters of independence. A marble plaque was erected in their memory in 1992, listing the names of 72 people who died and six who died elsewhere.</v>
      </c>
      <c r="D1311" s="7"/>
      <c r="E1311" s="7"/>
      <c r="F1311" s="7"/>
      <c r="G1311" s="7"/>
      <c r="H1311" s="7"/>
      <c r="I1311" s="7"/>
      <c r="J1311" s="7"/>
      <c r="K1311" s="7"/>
      <c r="L1311" s="7"/>
      <c r="M1311" s="7"/>
      <c r="N1311" s="7"/>
      <c r="O1311" s="7"/>
      <c r="P1311" s="7"/>
      <c r="Q1311" s="7"/>
      <c r="R1311" s="7"/>
      <c r="S1311" s="7"/>
      <c r="T1311" s="7"/>
      <c r="U1311" s="7"/>
      <c r="V1311" s="5"/>
      <c r="W1311" s="5"/>
      <c r="X1311" s="5"/>
      <c r="Y1311" s="5"/>
      <c r="Z1311" s="5"/>
    </row>
    <row r="1312" spans="1:26" ht="15.6" x14ac:dyDescent="0.3">
      <c r="A1312" s="18" t="s">
        <v>23</v>
      </c>
      <c r="B1312" s="25" t="s">
        <v>1316</v>
      </c>
      <c r="C1312" s="2" t="str">
        <f ca="1">IFERROR(__xludf.DUMMYFUNCTION("GOOGLETRANSLATE(B1312, ""bn"", ""en"")"),"I also want all Hindus to stop eating fish because the price of fish has gone up a lot.")</f>
        <v>I also want all Hindus to stop eating fish because the price of fish has gone up a lot.</v>
      </c>
      <c r="D1312" s="2"/>
      <c r="E1312" s="2"/>
      <c r="F1312" s="2"/>
      <c r="G1312" s="2"/>
      <c r="H1312" s="3"/>
      <c r="I1312" s="3"/>
      <c r="J1312" s="3"/>
      <c r="K1312" s="3"/>
      <c r="L1312" s="3"/>
      <c r="M1312" s="3"/>
      <c r="N1312" s="3"/>
      <c r="O1312" s="3"/>
      <c r="P1312" s="3"/>
      <c r="Q1312" s="3"/>
      <c r="R1312" s="3"/>
      <c r="S1312" s="3"/>
      <c r="T1312" s="3"/>
      <c r="U1312" s="3"/>
      <c r="V1312" s="3"/>
      <c r="W1312" s="3"/>
      <c r="X1312" s="3"/>
      <c r="Y1312" s="3"/>
      <c r="Z1312" s="3"/>
    </row>
    <row r="1313" spans="1:26" ht="15.6" x14ac:dyDescent="0.3">
      <c r="A1313" s="18" t="s">
        <v>8</v>
      </c>
      <c r="B1313" s="25" t="s">
        <v>1317</v>
      </c>
      <c r="C1313" s="2" t="str">
        <f ca="1">IFERROR(__xludf.DUMMYFUNCTION("GOOGLETRANSLATE(B1313, ""bn"", ""en"")"),"Vandalism is going on outside, fire in the temple, bricks thrown at the minaret of the mosque; And inside the train we are facing two families, the clothes tell who is Hindu and who is Muslim.")</f>
        <v>Vandalism is going on outside, fire in the temple, bricks thrown at the minaret of the mosque; And inside the train we are facing two families, the clothes tell who is Hindu and who is Muslim.</v>
      </c>
      <c r="D1313" s="5"/>
      <c r="E1313" s="5"/>
      <c r="F1313" s="5"/>
      <c r="G1313" s="5"/>
      <c r="H1313" s="5"/>
      <c r="I1313" s="5"/>
      <c r="J1313" s="5"/>
      <c r="K1313" s="5"/>
      <c r="L1313" s="5"/>
      <c r="M1313" s="5"/>
      <c r="N1313" s="5"/>
      <c r="O1313" s="5"/>
      <c r="P1313" s="5"/>
      <c r="Q1313" s="5"/>
      <c r="R1313" s="5"/>
      <c r="S1313" s="5"/>
      <c r="T1313" s="5"/>
      <c r="U1313" s="5"/>
      <c r="V1313" s="5"/>
      <c r="W1313" s="5"/>
      <c r="X1313" s="5"/>
      <c r="Y1313" s="5"/>
      <c r="Z1313" s="5"/>
    </row>
    <row r="1314" spans="1:26" ht="15.6" x14ac:dyDescent="0.3">
      <c r="A1314" s="19" t="s">
        <v>23</v>
      </c>
      <c r="B1314" s="26" t="s">
        <v>1318</v>
      </c>
      <c r="C1314" s="2" t="str">
        <f ca="1">IFERROR(__xludf.DUMMYFUNCTION("GOOGLETRANSLATE(B1314, ""bn"", ""en"")"),"I am happy to hear that all religious people should follow this rule to stop derogatory statements about their own religion and other religions.")</f>
        <v>I am happy to hear that all religious people should follow this rule to stop derogatory statements about their own religion and other religions.</v>
      </c>
      <c r="D1314" s="5"/>
      <c r="E1314" s="5"/>
      <c r="F1314" s="5"/>
      <c r="G1314" s="5"/>
      <c r="H1314" s="5"/>
      <c r="I1314" s="5"/>
      <c r="J1314" s="5"/>
      <c r="K1314" s="5"/>
      <c r="L1314" s="5"/>
      <c r="M1314" s="5"/>
      <c r="N1314" s="5"/>
      <c r="O1314" s="5"/>
      <c r="P1314" s="5"/>
      <c r="Q1314" s="5"/>
      <c r="R1314" s="5"/>
      <c r="S1314" s="5"/>
      <c r="T1314" s="5"/>
      <c r="U1314" s="5"/>
      <c r="V1314" s="5"/>
      <c r="W1314" s="5"/>
      <c r="X1314" s="5"/>
      <c r="Y1314" s="5"/>
      <c r="Z1314" s="5"/>
    </row>
    <row r="1315" spans="1:26" ht="15.6" x14ac:dyDescent="0.3">
      <c r="A1315" s="18" t="s">
        <v>3</v>
      </c>
      <c r="B1315" s="25" t="s">
        <v>1319</v>
      </c>
      <c r="C1315" s="2" t="str">
        <f ca="1">IFERROR(__xludf.DUMMYFUNCTION("GOOGLETRANSLATE(B1315, ""bn"", ""en"")"),"Muhammad stayed with his stepmother Halima Saadia for about four years after his birth. His mother Amina also looked after him during this time. At the age of four he returned to his mother and grew up in her affection and care until the age of six.[")</f>
        <v>Muhammad stayed with his stepmother Halima Saadia for about four years after his birth. His mother Amina also looked after him during this time. At the age of four he returned to his mother and grew up in her affection and care until the age of six.[</v>
      </c>
      <c r="D1315" s="5"/>
      <c r="E1315" s="5"/>
      <c r="F1315" s="5"/>
      <c r="G1315" s="5"/>
      <c r="H1315" s="5"/>
      <c r="I1315" s="5"/>
      <c r="J1315" s="5"/>
      <c r="K1315" s="5"/>
      <c r="L1315" s="5"/>
      <c r="M1315" s="5"/>
      <c r="N1315" s="5"/>
      <c r="O1315" s="5"/>
      <c r="P1315" s="5"/>
      <c r="Q1315" s="5"/>
      <c r="R1315" s="5"/>
      <c r="S1315" s="5"/>
      <c r="T1315" s="5"/>
      <c r="U1315" s="5"/>
      <c r="V1315" s="5"/>
      <c r="W1315" s="5"/>
      <c r="X1315" s="5"/>
      <c r="Y1315" s="5"/>
      <c r="Z1315" s="5"/>
    </row>
    <row r="1316" spans="1:26" ht="15.6" x14ac:dyDescent="0.3">
      <c r="A1316" s="18" t="s">
        <v>23</v>
      </c>
      <c r="B1316" s="24" t="s">
        <v>1320</v>
      </c>
      <c r="C1316" s="2" t="str">
        <f ca="1">IFERROR(__xludf.DUMMYFUNCTION("GOOGLETRANSLATE(B1316, ""bn"", ""en"")"),"Some members of the Buddhist community make disparaging comments about other religions, which threatens religious tolerance.")</f>
        <v>Some members of the Buddhist community make disparaging comments about other religions, which threatens religious tolerance.</v>
      </c>
      <c r="D1316" s="5"/>
      <c r="E1316" s="5"/>
      <c r="F1316" s="5"/>
      <c r="G1316" s="5"/>
      <c r="H1316" s="5"/>
      <c r="I1316" s="5"/>
      <c r="J1316" s="5"/>
      <c r="K1316" s="5"/>
      <c r="L1316" s="5"/>
      <c r="M1316" s="5"/>
      <c r="N1316" s="5"/>
      <c r="O1316" s="5"/>
      <c r="P1316" s="5"/>
      <c r="Q1316" s="5"/>
      <c r="R1316" s="5"/>
      <c r="S1316" s="5"/>
      <c r="T1316" s="5"/>
      <c r="U1316" s="5"/>
      <c r="V1316" s="5"/>
      <c r="W1316" s="5"/>
      <c r="X1316" s="5"/>
      <c r="Y1316" s="5"/>
      <c r="Z1316" s="5"/>
    </row>
    <row r="1317" spans="1:26" ht="15.6" x14ac:dyDescent="0.3">
      <c r="A1317" s="19" t="s">
        <v>23</v>
      </c>
      <c r="B1317" s="26" t="s">
        <v>1321</v>
      </c>
      <c r="C1317" s="2" t="str">
        <f ca="1">IFERROR(__xludf.DUMMYFUNCTION("GOOGLETRANSLATE(B1317, ""bn"", ""en"")"),"Oh, I'm at a loss for words, what can I say, Muslims have never taken such a terrible step to belittle other religions, so why did they burn our Quran?")</f>
        <v>Oh, I'm at a loss for words, what can I say, Muslims have never taken such a terrible step to belittle other religions, so why did they burn our Quran?</v>
      </c>
      <c r="D1317" s="5"/>
      <c r="E1317" s="5"/>
      <c r="F1317" s="5"/>
      <c r="G1317" s="5"/>
      <c r="H1317" s="5"/>
      <c r="I1317" s="5"/>
      <c r="J1317" s="5"/>
      <c r="K1317" s="5"/>
      <c r="L1317" s="5"/>
      <c r="M1317" s="5"/>
      <c r="N1317" s="5"/>
      <c r="O1317" s="5"/>
      <c r="P1317" s="5"/>
      <c r="Q1317" s="5"/>
      <c r="R1317" s="5"/>
      <c r="S1317" s="5"/>
      <c r="T1317" s="5"/>
      <c r="U1317" s="5"/>
      <c r="V1317" s="5"/>
      <c r="W1317" s="5"/>
      <c r="X1317" s="5"/>
      <c r="Y1317" s="5"/>
      <c r="Z1317" s="5"/>
    </row>
    <row r="1318" spans="1:26" ht="15.6" x14ac:dyDescent="0.3">
      <c r="A1318" s="19" t="s">
        <v>3</v>
      </c>
      <c r="B1318" s="26" t="s">
        <v>1322</v>
      </c>
      <c r="C1318" s="2" t="str">
        <f ca="1">IFERROR(__xludf.DUMMYFUNCTION("GOOGLETRANSLATE(B1318, ""bn"", ""en"")"),"A group of soldiers with four armored vehicles suddenly opened fire at Kaliganj market in Satkhira. A major divides the refugees into two groups.")</f>
        <v>A group of soldiers with four armored vehicles suddenly opened fire at Kaliganj market in Satkhira. A major divides the refugees into two groups.</v>
      </c>
      <c r="D1318" s="7"/>
      <c r="E1318" s="7"/>
      <c r="F1318" s="7"/>
      <c r="G1318" s="7"/>
      <c r="H1318" s="7"/>
      <c r="I1318" s="7"/>
      <c r="J1318" s="7"/>
      <c r="K1318" s="5"/>
      <c r="L1318" s="5"/>
      <c r="M1318" s="5"/>
      <c r="N1318" s="5"/>
      <c r="O1318" s="5"/>
      <c r="P1318" s="5"/>
      <c r="Q1318" s="5"/>
      <c r="R1318" s="5"/>
      <c r="S1318" s="5"/>
      <c r="T1318" s="5"/>
      <c r="U1318" s="5"/>
      <c r="V1318" s="5"/>
      <c r="W1318" s="5"/>
      <c r="X1318" s="5"/>
      <c r="Y1318" s="5"/>
      <c r="Z1318" s="5"/>
    </row>
    <row r="1319" spans="1:26" ht="15.6" x14ac:dyDescent="0.3">
      <c r="A1319" s="18" t="s">
        <v>23</v>
      </c>
      <c r="B1319" s="25" t="s">
        <v>1323</v>
      </c>
      <c r="C1319" s="2" t="str">
        <f ca="1">IFERROR(__xludf.DUMMYFUNCTION("GOOGLETRANSLATE(B1319, ""bn"", ""en"")"),"Although they are Muslims by name, Hindutva culture is more their own. They themselves have created a separate religion.")</f>
        <v>Although they are Muslims by name, Hindutva culture is more their own. They themselves have created a separate religion.</v>
      </c>
      <c r="D1319" s="2"/>
      <c r="E1319" s="2"/>
      <c r="F1319" s="2"/>
      <c r="G1319" s="2"/>
      <c r="H1319" s="3"/>
      <c r="I1319" s="3"/>
      <c r="J1319" s="3"/>
      <c r="K1319" s="3"/>
      <c r="L1319" s="3"/>
      <c r="M1319" s="3"/>
      <c r="N1319" s="3"/>
      <c r="O1319" s="3"/>
      <c r="P1319" s="3"/>
      <c r="Q1319" s="3"/>
      <c r="R1319" s="3"/>
      <c r="S1319" s="3"/>
      <c r="T1319" s="3"/>
      <c r="U1319" s="3"/>
      <c r="V1319" s="3"/>
      <c r="W1319" s="3"/>
      <c r="X1319" s="3"/>
      <c r="Y1319" s="3"/>
      <c r="Z1319" s="3"/>
    </row>
    <row r="1320" spans="1:26" ht="15.6" x14ac:dyDescent="0.3">
      <c r="A1320" s="19" t="s">
        <v>5</v>
      </c>
      <c r="B1320" s="26" t="s">
        <v>1324</v>
      </c>
      <c r="C1320" s="2" t="str">
        <f ca="1">IFERROR(__xludf.DUMMYFUNCTION("GOOGLETRANSLATE(B1320, ""bn"", ""en"")"),"Then the Holy Prophet said, ""Do not consider anyone as a martyr unless he is a martyr in the path of Allah?"" In that case, the number of your martyrs will be very few. A person killed in the path of Allah is a martyr, a person who dies of abdominal pain"&amp;" is a martyr, a person who dies in a fire is a martyr, a person who drowns in water is a martyr, a person who dies under something is a martyr, a person who dies of severe pain like pneumonia is a martyr, a woman who dies during pregnancy is also a martyr"&amp;".")</f>
        <v>Then the Holy Prophet said, "Do not consider anyone as a martyr unless he is a martyr in the path of Allah?" In that case, the number of your martyrs will be very few. A person killed in the path of Allah is a martyr, a person who dies of abdominal pain is a martyr, a person who dies in a fire is a martyr, a person who drowns in water is a martyr, a person who dies under something is a martyr, a person who dies of severe pain like pneumonia is a martyr, a woman who dies during pregnancy is also a martyr.</v>
      </c>
      <c r="D1320" s="7"/>
      <c r="E1320" s="7"/>
      <c r="F1320" s="7"/>
      <c r="G1320" s="7"/>
      <c r="H1320" s="7"/>
      <c r="I1320" s="7"/>
      <c r="J1320" s="7"/>
      <c r="K1320" s="7"/>
      <c r="L1320" s="7"/>
      <c r="M1320" s="7"/>
      <c r="N1320" s="7"/>
      <c r="O1320" s="7"/>
      <c r="P1320" s="7"/>
      <c r="Q1320" s="7"/>
      <c r="R1320" s="7"/>
      <c r="S1320" s="7"/>
      <c r="T1320" s="7"/>
      <c r="U1320" s="7"/>
      <c r="V1320" s="5"/>
      <c r="W1320" s="5"/>
      <c r="X1320" s="5"/>
      <c r="Y1320" s="5"/>
      <c r="Z1320" s="5"/>
    </row>
    <row r="1321" spans="1:26" ht="15.6" x14ac:dyDescent="0.3">
      <c r="A1321" s="18" t="s">
        <v>3</v>
      </c>
      <c r="B1321" s="25" t="s">
        <v>1325</v>
      </c>
      <c r="C1321" s="2" t="str">
        <f ca="1">IFERROR(__xludf.DUMMYFUNCTION("GOOGLETRANSLATE(B1321, ""bn"", ""en"")"),"At a two-day international conference on Buddhist heritage in 2015, the Prime Minister of Bangladesh spoke about the development of Buddhist culture and heritage tourism in Bangladesh.")</f>
        <v>At a two-day international conference on Buddhist heritage in 2015, the Prime Minister of Bangladesh spoke about the development of Buddhist culture and heritage tourism in Bangladesh.</v>
      </c>
      <c r="D1321" s="5"/>
      <c r="E1321" s="5"/>
      <c r="F1321" s="5"/>
      <c r="G1321" s="5"/>
      <c r="H1321" s="5"/>
      <c r="I1321" s="5"/>
      <c r="J1321" s="5"/>
      <c r="K1321" s="5"/>
      <c r="L1321" s="5"/>
      <c r="M1321" s="5"/>
      <c r="N1321" s="5"/>
      <c r="O1321" s="5"/>
      <c r="P1321" s="5"/>
      <c r="Q1321" s="5"/>
      <c r="R1321" s="5"/>
      <c r="S1321" s="5"/>
      <c r="T1321" s="5"/>
      <c r="U1321" s="5"/>
      <c r="V1321" s="5"/>
      <c r="W1321" s="5"/>
      <c r="X1321" s="5"/>
      <c r="Y1321" s="5"/>
      <c r="Z1321" s="5"/>
    </row>
    <row r="1322" spans="1:26" ht="15.6" x14ac:dyDescent="0.3">
      <c r="A1322" s="19" t="s">
        <v>8</v>
      </c>
      <c r="B1322" s="26" t="s">
        <v>1326</v>
      </c>
      <c r="C1322" s="2" t="str">
        <f ca="1">IFERROR(__xludf.DUMMYFUNCTION("GOOGLETRANSLATE(B1322, ""bn"", ""en"")"),"On July 20, the Iraqi prime minister immediately ordered the Swedish ambassador to Baghdad to leave Iraq after Muslims were again allowed to burn the Holy Quran. He also summoned the Iraqi ambassador in Stockholm.")</f>
        <v>On July 20, the Iraqi prime minister immediately ordered the Swedish ambassador to Baghdad to leave Iraq after Muslims were again allowed to burn the Holy Quran. He also summoned the Iraqi ambassador in Stockholm.</v>
      </c>
      <c r="D1322" s="7"/>
      <c r="E1322" s="5"/>
      <c r="F1322" s="5"/>
      <c r="G1322" s="5"/>
      <c r="H1322" s="5"/>
      <c r="I1322" s="5"/>
      <c r="J1322" s="5"/>
      <c r="K1322" s="5"/>
      <c r="L1322" s="5"/>
      <c r="M1322" s="5"/>
      <c r="N1322" s="5"/>
      <c r="O1322" s="5"/>
      <c r="P1322" s="5"/>
      <c r="Q1322" s="5"/>
      <c r="R1322" s="5"/>
      <c r="S1322" s="5"/>
      <c r="T1322" s="5"/>
      <c r="U1322" s="5"/>
      <c r="V1322" s="5"/>
      <c r="W1322" s="5"/>
      <c r="X1322" s="5"/>
      <c r="Y1322" s="5"/>
      <c r="Z1322" s="5"/>
    </row>
    <row r="1323" spans="1:26" ht="15.6" x14ac:dyDescent="0.3">
      <c r="A1323" s="18" t="s">
        <v>23</v>
      </c>
      <c r="B1323" s="25" t="s">
        <v>1327</v>
      </c>
      <c r="C1323" s="2" t="str">
        <f ca="1">IFERROR(__xludf.DUMMYFUNCTION("GOOGLETRANSLATE(B1323, ""bn"", ""en"")"),"Against my Allah, against my Messenger, insulting my Qur'an, he has no escape in this world.")</f>
        <v>Against my Allah, against my Messenger, insulting my Qur'an, he has no escape in this world.</v>
      </c>
      <c r="D1323" s="2"/>
      <c r="E1323" s="2"/>
      <c r="F1323" s="2"/>
      <c r="G1323" s="2"/>
      <c r="H1323" s="3"/>
      <c r="I1323" s="3"/>
      <c r="J1323" s="3"/>
      <c r="K1323" s="3"/>
      <c r="L1323" s="3"/>
      <c r="M1323" s="3"/>
      <c r="N1323" s="3"/>
      <c r="O1323" s="3"/>
      <c r="P1323" s="3"/>
      <c r="Q1323" s="3"/>
      <c r="R1323" s="3"/>
      <c r="S1323" s="3"/>
      <c r="T1323" s="3"/>
      <c r="U1323" s="3"/>
      <c r="V1323" s="3"/>
      <c r="W1323" s="3"/>
      <c r="X1323" s="3"/>
      <c r="Y1323" s="3"/>
      <c r="Z1323" s="3"/>
    </row>
    <row r="1324" spans="1:26" ht="15.6" x14ac:dyDescent="0.3">
      <c r="A1324" s="19" t="s">
        <v>23</v>
      </c>
      <c r="B1324" s="26" t="s">
        <v>1328</v>
      </c>
      <c r="C1324" s="2" t="str">
        <f ca="1">IFERROR(__xludf.DUMMYFUNCTION("GOOGLETRANSLATE(B1324, ""bn"", ""en"")"),"There is no problem with drinking alcohol as much as there is a problem with eating fish and meat in this religion.")</f>
        <v>There is no problem with drinking alcohol as much as there is a problem with eating fish and meat in this religion.</v>
      </c>
      <c r="D1324" s="5"/>
      <c r="E1324" s="5"/>
      <c r="F1324" s="5"/>
      <c r="G1324" s="5"/>
      <c r="H1324" s="5"/>
      <c r="I1324" s="5"/>
      <c r="J1324" s="5"/>
      <c r="K1324" s="5"/>
      <c r="L1324" s="5"/>
      <c r="M1324" s="5"/>
      <c r="N1324" s="5"/>
      <c r="O1324" s="5"/>
      <c r="P1324" s="5"/>
      <c r="Q1324" s="5"/>
      <c r="R1324" s="5"/>
      <c r="S1324" s="5"/>
      <c r="T1324" s="5"/>
      <c r="U1324" s="5"/>
      <c r="V1324" s="5"/>
      <c r="W1324" s="5"/>
      <c r="X1324" s="5"/>
      <c r="Y1324" s="5"/>
      <c r="Z1324" s="5"/>
    </row>
    <row r="1325" spans="1:26" ht="15.6" x14ac:dyDescent="0.3">
      <c r="A1325" s="19" t="s">
        <v>23</v>
      </c>
      <c r="B1325" s="26" t="s">
        <v>1329</v>
      </c>
      <c r="C1325" s="2" t="str">
        <f ca="1">IFERROR(__xludf.DUMMYFUNCTION("GOOGLETRANSLATE(B1325, ""bn"", ""en"")"),"May Allah shower wrath against the enemies of our country and community.")</f>
        <v>May Allah shower wrath against the enemies of our country and community.</v>
      </c>
      <c r="D1325" s="5"/>
      <c r="E1325" s="5"/>
      <c r="F1325" s="5"/>
      <c r="G1325" s="5"/>
      <c r="H1325" s="5"/>
      <c r="I1325" s="5"/>
      <c r="J1325" s="5"/>
      <c r="K1325" s="5"/>
      <c r="L1325" s="5"/>
      <c r="M1325" s="5"/>
      <c r="N1325" s="5"/>
      <c r="O1325" s="5"/>
      <c r="P1325" s="5"/>
      <c r="Q1325" s="5"/>
      <c r="R1325" s="5"/>
      <c r="S1325" s="5"/>
      <c r="T1325" s="5"/>
      <c r="U1325" s="5"/>
      <c r="V1325" s="5"/>
      <c r="W1325" s="5"/>
      <c r="X1325" s="5"/>
      <c r="Y1325" s="5"/>
      <c r="Z1325" s="5"/>
    </row>
    <row r="1326" spans="1:26" ht="15.6" x14ac:dyDescent="0.3">
      <c r="A1326" s="18" t="s">
        <v>23</v>
      </c>
      <c r="B1326" s="25" t="s">
        <v>1330</v>
      </c>
      <c r="C1326" s="2" t="str">
        <f ca="1">IFERROR(__xludf.DUMMYFUNCTION("GOOGLETRANSLATE(B1326, ""bn"", ""en"")"),"A heretic burned the Koran, but the media is defending them because they are Islamophobic.")</f>
        <v>A heretic burned the Koran, but the media is defending them because they are Islamophobic.</v>
      </c>
      <c r="D1326" s="5"/>
      <c r="E1326" s="5"/>
      <c r="F1326" s="5"/>
      <c r="G1326" s="5"/>
      <c r="H1326" s="5"/>
      <c r="I1326" s="5"/>
      <c r="J1326" s="5"/>
      <c r="K1326" s="5"/>
      <c r="L1326" s="5"/>
      <c r="M1326" s="5"/>
      <c r="N1326" s="5"/>
      <c r="O1326" s="5"/>
      <c r="P1326" s="5"/>
      <c r="Q1326" s="5"/>
      <c r="R1326" s="5"/>
      <c r="S1326" s="5"/>
      <c r="T1326" s="5"/>
      <c r="U1326" s="5"/>
      <c r="V1326" s="5"/>
      <c r="W1326" s="5"/>
      <c r="X1326" s="5"/>
      <c r="Y1326" s="5"/>
      <c r="Z1326" s="5"/>
    </row>
    <row r="1327" spans="1:26" ht="15.6" x14ac:dyDescent="0.3">
      <c r="A1327" s="19" t="s">
        <v>5</v>
      </c>
      <c r="B1327" s="26" t="s">
        <v>1331</v>
      </c>
      <c r="C1327" s="2" t="str">
        <f ca="1">IFERROR(__xludf.DUMMYFUNCTION("GOOGLETRANSLATE(B1327, ""bn"", ""en"")"),"The Chinese government has suspended all activities of the media and kept 2.2 million Muslims locked up in various detention camps for years and continues to commit crimes including torture, sexual assault, and murder through their representatives.")</f>
        <v>The Chinese government has suspended all activities of the media and kept 2.2 million Muslims locked up in various detention camps for years and continues to commit crimes including torture, sexual assault, and murder through their representatives.</v>
      </c>
      <c r="D1327" s="5"/>
      <c r="E1327" s="5"/>
      <c r="F1327" s="5"/>
      <c r="G1327" s="5"/>
      <c r="H1327" s="5"/>
      <c r="I1327" s="5"/>
      <c r="J1327" s="5"/>
      <c r="K1327" s="5"/>
      <c r="L1327" s="5"/>
      <c r="M1327" s="5"/>
      <c r="N1327" s="5"/>
      <c r="O1327" s="5"/>
      <c r="P1327" s="5"/>
      <c r="Q1327" s="5"/>
      <c r="R1327" s="5"/>
      <c r="S1327" s="5"/>
      <c r="T1327" s="5"/>
      <c r="U1327" s="5"/>
      <c r="V1327" s="5"/>
      <c r="W1327" s="5"/>
      <c r="X1327" s="5"/>
      <c r="Y1327" s="5"/>
      <c r="Z1327" s="5"/>
    </row>
    <row r="1328" spans="1:26" ht="15.6" x14ac:dyDescent="0.3">
      <c r="A1328" s="18" t="s">
        <v>8</v>
      </c>
      <c r="B1328" s="25" t="s">
        <v>1332</v>
      </c>
      <c r="C1328" s="2" t="str">
        <f ca="1">IFERROR(__xludf.DUMMYFUNCTION("GOOGLETRANSLATE(B1328, ""bn"", ""en"")"),"Many temples including Jayakali temple in old Dhaka, Rishipara temple in Nawabganj were attacked. When Dhakshwari tried to attack the temple, the police and local people jointly prevented it.")</f>
        <v>Many temples including Jayakali temple in old Dhaka, Rishipara temple in Nawabganj were attacked. When Dhakshwari tried to attack the temple, the police and local people jointly prevented it.</v>
      </c>
      <c r="D1328" s="5"/>
      <c r="E1328" s="5"/>
      <c r="F1328" s="5"/>
      <c r="G1328" s="5"/>
      <c r="H1328" s="5"/>
      <c r="I1328" s="5"/>
      <c r="J1328" s="5"/>
      <c r="K1328" s="5"/>
      <c r="L1328" s="5"/>
      <c r="M1328" s="5"/>
      <c r="N1328" s="5"/>
      <c r="O1328" s="5"/>
      <c r="P1328" s="5"/>
      <c r="Q1328" s="5"/>
      <c r="R1328" s="5"/>
      <c r="S1328" s="5"/>
      <c r="T1328" s="5"/>
      <c r="U1328" s="5"/>
      <c r="V1328" s="5"/>
      <c r="W1328" s="5"/>
      <c r="X1328" s="5"/>
      <c r="Y1328" s="5"/>
      <c r="Z1328" s="5"/>
    </row>
    <row r="1329" spans="1:26" ht="15.6" x14ac:dyDescent="0.3">
      <c r="A1329" s="18" t="s">
        <v>3</v>
      </c>
      <c r="B1329" s="25" t="s">
        <v>1333</v>
      </c>
      <c r="C1329" s="2" t="str">
        <f ca="1">IFERROR(__xludf.DUMMYFUNCTION("GOOGLETRANSLATE(B1329, ""bn"", ""en"")"),"Hindu Muslims sit and eat together and people of all religions live side by side in this country. So, don't question the tolerant and cordial relationship between the Hindu Muslims of this country by slapping sesame seeds.")</f>
        <v>Hindu Muslims sit and eat together and people of all religions live side by side in this country. So, don't question the tolerant and cordial relationship between the Hindu Muslims of this country by slapping sesame seeds.</v>
      </c>
      <c r="D1329" s="2"/>
      <c r="E1329" s="2"/>
      <c r="F1329" s="2"/>
      <c r="G1329" s="2"/>
      <c r="H1329" s="3"/>
      <c r="I1329" s="3"/>
      <c r="J1329" s="3"/>
      <c r="K1329" s="3"/>
      <c r="L1329" s="3"/>
      <c r="M1329" s="3"/>
      <c r="N1329" s="3"/>
      <c r="O1329" s="3"/>
      <c r="P1329" s="3"/>
      <c r="Q1329" s="3"/>
      <c r="R1329" s="3"/>
      <c r="S1329" s="3"/>
      <c r="T1329" s="3"/>
      <c r="U1329" s="3"/>
      <c r="V1329" s="3"/>
      <c r="W1329" s="3"/>
      <c r="X1329" s="3"/>
      <c r="Y1329" s="3"/>
      <c r="Z1329" s="3"/>
    </row>
    <row r="1330" spans="1:26" ht="15.6" x14ac:dyDescent="0.3">
      <c r="A1330" s="19" t="s">
        <v>8</v>
      </c>
      <c r="B1330" s="26" t="s">
        <v>1334</v>
      </c>
      <c r="C1330" s="2" t="str">
        <f ca="1">IFERROR(__xludf.DUMMYFUNCTION("GOOGLETRANSLATE(B1330, ""bn"", ""en"")"),"Recently when Vishu beat up his mother-in-law, the two families got into a dispute over the matter. Meanwhile, Bimal Das took part in the fight on one side. And to punish the opponent, the idol is vandalized in the middle of the night. The source, who did"&amp;" not want to be named, also said that the idol vandalism was a family dispute, not a communal incident.")</f>
        <v>Recently when Vishu beat up his mother-in-law, the two families got into a dispute over the matter. Meanwhile, Bimal Das took part in the fight on one side. And to punish the opponent, the idol is vandalized in the middle of the night. The source, who did not want to be named, also said that the idol vandalism was a family dispute, not a communal incident.</v>
      </c>
      <c r="D1330" s="7"/>
      <c r="E1330" s="7"/>
      <c r="F1330" s="7"/>
      <c r="G1330" s="7"/>
      <c r="H1330" s="7"/>
      <c r="I1330" s="7"/>
      <c r="J1330" s="7"/>
      <c r="K1330" s="7"/>
      <c r="L1330" s="7"/>
      <c r="M1330" s="7"/>
      <c r="N1330" s="7"/>
      <c r="O1330" s="7"/>
      <c r="P1330" s="5"/>
      <c r="Q1330" s="5"/>
      <c r="R1330" s="5"/>
      <c r="S1330" s="5"/>
      <c r="T1330" s="5"/>
      <c r="U1330" s="5"/>
      <c r="V1330" s="5"/>
      <c r="W1330" s="5"/>
      <c r="X1330" s="5"/>
      <c r="Y1330" s="5"/>
      <c r="Z1330" s="5"/>
    </row>
    <row r="1331" spans="1:26" ht="15.6" x14ac:dyDescent="0.3">
      <c r="A1331" s="18" t="s">
        <v>8</v>
      </c>
      <c r="B1331" s="25" t="s">
        <v>1335</v>
      </c>
      <c r="C1331" s="2" t="str">
        <f ca="1">IFERROR(__xludf.DUMMYFUNCTION("GOOGLETRANSLATE(B1331, ""bn"", ""en"")"),"The Mughal emperor Aurangzeb destroyed the Vishwanath temple and the Gnanabapi Masjid was built on a part of the ruins of the temple.")</f>
        <v>The Mughal emperor Aurangzeb destroyed the Vishwanath temple and the Gnanabapi Masjid was built on a part of the ruins of the temple.</v>
      </c>
      <c r="D1331" s="5"/>
      <c r="E1331" s="5"/>
      <c r="F1331" s="5"/>
      <c r="G1331" s="5"/>
      <c r="H1331" s="5"/>
      <c r="I1331" s="5"/>
      <c r="J1331" s="5"/>
      <c r="K1331" s="5"/>
      <c r="L1331" s="5"/>
      <c r="M1331" s="5"/>
      <c r="N1331" s="5"/>
      <c r="O1331" s="5"/>
      <c r="P1331" s="5"/>
      <c r="Q1331" s="5"/>
      <c r="R1331" s="5"/>
      <c r="S1331" s="5"/>
      <c r="T1331" s="5"/>
      <c r="U1331" s="5"/>
      <c r="V1331" s="5"/>
      <c r="W1331" s="5"/>
      <c r="X1331" s="5"/>
      <c r="Y1331" s="5"/>
      <c r="Z1331" s="5"/>
    </row>
    <row r="1332" spans="1:26" ht="15.6" x14ac:dyDescent="0.3">
      <c r="A1332" s="19" t="s">
        <v>23</v>
      </c>
      <c r="B1332" s="26" t="s">
        <v>1336</v>
      </c>
      <c r="C1332" s="2" t="str">
        <f ca="1">IFERROR(__xludf.DUMMYFUNCTION("GOOGLETRANSLATE(B1332, ""bn"", ""en"")"),"An appeal to all Hindus - keep Da, Koral, Kachi in hand for safety in temples and ensure safety at your own risk.")</f>
        <v>An appeal to all Hindus - keep Da, Koral, Kachi in hand for safety in temples and ensure safety at your own risk.</v>
      </c>
      <c r="D1332" s="7"/>
      <c r="E1332" s="7"/>
      <c r="F1332" s="7"/>
      <c r="G1332" s="7"/>
      <c r="H1332" s="7"/>
      <c r="I1332" s="7"/>
      <c r="J1332" s="7"/>
      <c r="K1332" s="5"/>
      <c r="L1332" s="5"/>
      <c r="M1332" s="5"/>
      <c r="N1332" s="5"/>
      <c r="O1332" s="5"/>
      <c r="P1332" s="5"/>
      <c r="Q1332" s="5"/>
      <c r="R1332" s="5"/>
      <c r="S1332" s="5"/>
      <c r="T1332" s="5"/>
      <c r="U1332" s="5"/>
      <c r="V1332" s="5"/>
      <c r="W1332" s="5"/>
      <c r="X1332" s="5"/>
      <c r="Y1332" s="5"/>
      <c r="Z1332" s="5"/>
    </row>
    <row r="1333" spans="1:26" ht="15.6" x14ac:dyDescent="0.3">
      <c r="A1333" s="18" t="s">
        <v>5</v>
      </c>
      <c r="B1333" s="24" t="s">
        <v>1337</v>
      </c>
      <c r="C1333" s="2" t="str">
        <f ca="1">IFERROR(__xludf.DUMMYFUNCTION("GOOGLETRANSLATE(B1333, ""bn"", ""en"")"),"42 people lost their lives in religious riots in Jhenaidah. Police quickly cordoned off the area, with the government calling for religious tolerance and peace. Affected minority families find shelter in the absence of security.")</f>
        <v>42 people lost their lives in religious riots in Jhenaidah. Police quickly cordoned off the area, with the government calling for religious tolerance and peace. Affected minority families find shelter in the absence of security.</v>
      </c>
      <c r="D1333" s="5"/>
      <c r="E1333" s="5"/>
      <c r="F1333" s="5"/>
      <c r="G1333" s="5"/>
      <c r="H1333" s="5"/>
      <c r="I1333" s="5"/>
      <c r="J1333" s="5"/>
      <c r="K1333" s="5"/>
      <c r="L1333" s="5"/>
      <c r="M1333" s="5"/>
      <c r="N1333" s="5"/>
      <c r="O1333" s="5"/>
      <c r="P1333" s="5"/>
      <c r="Q1333" s="5"/>
      <c r="R1333" s="5"/>
      <c r="S1333" s="5"/>
      <c r="T1333" s="5"/>
      <c r="U1333" s="5"/>
      <c r="V1333" s="5"/>
      <c r="W1333" s="5"/>
      <c r="X1333" s="5"/>
      <c r="Y1333" s="5"/>
      <c r="Z1333" s="5"/>
    </row>
    <row r="1334" spans="1:26" ht="15.6" x14ac:dyDescent="0.3">
      <c r="A1334" s="19" t="s">
        <v>5</v>
      </c>
      <c r="B1334" s="26" t="s">
        <v>1338</v>
      </c>
      <c r="C1334" s="2" t="str">
        <f ca="1">IFERROR(__xludf.DUMMYFUNCTION("GOOGLETRANSLATE(B1334, ""bn"", ""en"")"),"Home attacks were carried out under the pretext of arresting Muslim Brotherhood activists, mass killings were carried out across the city with mass destruction vehicles, and at least 40,000 Muslims were killed.")</f>
        <v>Home attacks were carried out under the pretext of arresting Muslim Brotherhood activists, mass killings were carried out across the city with mass destruction vehicles, and at least 40,000 Muslims were killed.</v>
      </c>
      <c r="D1334" s="7"/>
      <c r="E1334" s="7"/>
      <c r="F1334" s="7"/>
      <c r="G1334" s="7"/>
      <c r="H1334" s="7"/>
      <c r="I1334" s="7"/>
      <c r="J1334" s="7"/>
      <c r="K1334" s="7"/>
      <c r="L1334" s="7"/>
      <c r="M1334" s="7"/>
      <c r="N1334" s="7"/>
      <c r="O1334" s="5"/>
      <c r="P1334" s="5"/>
      <c r="Q1334" s="5"/>
      <c r="R1334" s="5"/>
      <c r="S1334" s="5"/>
      <c r="T1334" s="5"/>
      <c r="U1334" s="5"/>
      <c r="V1334" s="5"/>
      <c r="W1334" s="5"/>
      <c r="X1334" s="5"/>
      <c r="Y1334" s="5"/>
      <c r="Z1334" s="5"/>
    </row>
    <row r="1335" spans="1:26" ht="15.6" x14ac:dyDescent="0.3">
      <c r="A1335" s="19" t="s">
        <v>23</v>
      </c>
      <c r="B1335" s="26" t="s">
        <v>1339</v>
      </c>
      <c r="C1335" s="2" t="str">
        <f ca="1">IFERROR(__xludf.DUMMYFUNCTION("GOOGLETRANSLATE(B1335, ""bn"", ""en"")"),"It is the misfortune of Bengal that we have summoned such a dacoit while chasing a thief. He is not only dishonest, he is a fraud, he is a traitor, he is a liar.")</f>
        <v>It is the misfortune of Bengal that we have summoned such a dacoit while chasing a thief. He is not only dishonest, he is a fraud, he is a traitor, he is a liar.</v>
      </c>
      <c r="D1335" s="5"/>
      <c r="E1335" s="5"/>
      <c r="F1335" s="5"/>
      <c r="G1335" s="5"/>
      <c r="H1335" s="5"/>
      <c r="I1335" s="5"/>
      <c r="J1335" s="5"/>
      <c r="K1335" s="5"/>
      <c r="L1335" s="5"/>
      <c r="M1335" s="5"/>
      <c r="N1335" s="5"/>
      <c r="O1335" s="5"/>
      <c r="P1335" s="5"/>
      <c r="Q1335" s="5"/>
      <c r="R1335" s="5"/>
      <c r="S1335" s="5"/>
      <c r="T1335" s="5"/>
      <c r="U1335" s="5"/>
      <c r="V1335" s="5"/>
      <c r="W1335" s="5"/>
      <c r="X1335" s="5"/>
      <c r="Y1335" s="5"/>
      <c r="Z1335" s="5"/>
    </row>
    <row r="1336" spans="1:26" ht="15.6" x14ac:dyDescent="0.3">
      <c r="A1336" s="19" t="s">
        <v>8</v>
      </c>
      <c r="B1336" s="26" t="s">
        <v>1340</v>
      </c>
      <c r="C1336" s="2" t="str">
        <f ca="1">IFERROR(__xludf.DUMMYFUNCTION("GOOGLETRANSLATE(B1336, ""bn"", ""en"")"),"In Chandpur, a traditional religious procession was accused of ""religious incitement"" by an angry crowd who pelted stones and stones at the procession.")</f>
        <v>In Chandpur, a traditional religious procession was accused of "religious incitement" by an angry crowd who pelted stones and stones at the procession.</v>
      </c>
      <c r="D1336" s="5"/>
      <c r="E1336" s="5"/>
      <c r="F1336" s="5"/>
      <c r="G1336" s="5"/>
      <c r="H1336" s="5"/>
      <c r="I1336" s="5"/>
      <c r="J1336" s="5"/>
      <c r="K1336" s="5"/>
      <c r="L1336" s="5"/>
      <c r="M1336" s="5"/>
      <c r="N1336" s="5"/>
      <c r="O1336" s="5"/>
      <c r="P1336" s="5"/>
      <c r="Q1336" s="5"/>
      <c r="R1336" s="5"/>
      <c r="S1336" s="5"/>
      <c r="T1336" s="5"/>
      <c r="U1336" s="5"/>
      <c r="V1336" s="5"/>
      <c r="W1336" s="5"/>
      <c r="X1336" s="5"/>
      <c r="Y1336" s="5"/>
      <c r="Z1336" s="5"/>
    </row>
    <row r="1337" spans="1:26" ht="15.6" x14ac:dyDescent="0.3">
      <c r="A1337" s="19" t="s">
        <v>23</v>
      </c>
      <c r="B1337" s="26" t="s">
        <v>1341</v>
      </c>
      <c r="C1337" s="2" t="str">
        <f ca="1">IFERROR(__xludf.DUMMYFUNCTION("GOOGLETRANSLATE(B1337, ""bn"", ""en"")"),"A case of defamation of religion was filed against Titu Roy on November 5. He was arrested on November 14 and granted bail. A chargesheet was filed against 225 people in Gangachara police station, of whom 44 were sent to jail.")</f>
        <v>A case of defamation of religion was filed against Titu Roy on November 5. He was arrested on November 14 and granted bail. A chargesheet was filed against 225 people in Gangachara police station, of whom 44 were sent to jail.</v>
      </c>
      <c r="D1337" s="7"/>
      <c r="E1337" s="7"/>
      <c r="F1337" s="7"/>
      <c r="G1337" s="7"/>
      <c r="H1337" s="7"/>
      <c r="I1337" s="7"/>
      <c r="J1337" s="7"/>
      <c r="K1337" s="7"/>
      <c r="L1337" s="7"/>
      <c r="M1337" s="7"/>
      <c r="N1337" s="7"/>
      <c r="O1337" s="7"/>
      <c r="P1337" s="5"/>
      <c r="Q1337" s="5"/>
      <c r="R1337" s="5"/>
      <c r="S1337" s="5"/>
      <c r="T1337" s="5"/>
      <c r="U1337" s="5"/>
      <c r="V1337" s="5"/>
      <c r="W1337" s="5"/>
      <c r="X1337" s="5"/>
      <c r="Y1337" s="5"/>
      <c r="Z1337" s="5"/>
    </row>
    <row r="1338" spans="1:26" ht="15.6" x14ac:dyDescent="0.3">
      <c r="A1338" s="19" t="s">
        <v>3</v>
      </c>
      <c r="B1338" s="26" t="s">
        <v>1342</v>
      </c>
      <c r="C1338" s="2" t="str">
        <f ca="1">IFERROR(__xludf.DUMMYFUNCTION("GOOGLETRANSLATE(B1338, ""bn"", ""en"")"),"Jagannath is for Hindus, they worship there. They don't allocate for Puja in whole Dhaka University.")</f>
        <v>Jagannath is for Hindus, they worship there. They don't allocate for Puja in whole Dhaka University.</v>
      </c>
      <c r="D1338" s="5"/>
      <c r="E1338" s="5"/>
      <c r="F1338" s="5"/>
      <c r="G1338" s="5"/>
      <c r="H1338" s="5"/>
      <c r="I1338" s="5"/>
      <c r="J1338" s="5"/>
      <c r="K1338" s="5"/>
      <c r="L1338" s="5"/>
      <c r="M1338" s="5"/>
      <c r="N1338" s="5"/>
      <c r="O1338" s="5"/>
      <c r="P1338" s="5"/>
      <c r="Q1338" s="5"/>
      <c r="R1338" s="5"/>
      <c r="S1338" s="5"/>
      <c r="T1338" s="5"/>
      <c r="U1338" s="5"/>
      <c r="V1338" s="5"/>
      <c r="W1338" s="5"/>
      <c r="X1338" s="5"/>
      <c r="Y1338" s="5"/>
      <c r="Z1338" s="5"/>
    </row>
    <row r="1339" spans="1:26" ht="15.6" x14ac:dyDescent="0.3">
      <c r="A1339" s="19" t="s">
        <v>3</v>
      </c>
      <c r="B1339" s="26" t="s">
        <v>1343</v>
      </c>
      <c r="C1339" s="2" t="str">
        <f ca="1">IFERROR(__xludf.DUMMYFUNCTION("GOOGLETRANSLATE(B1339, ""bn"", ""en"")"),"Hinduism emphasizes truth, dharma and self-sacrifice for peace and happiness.")</f>
        <v>Hinduism emphasizes truth, dharma and self-sacrifice for peace and happiness.</v>
      </c>
      <c r="D1339" s="5"/>
      <c r="E1339" s="5"/>
      <c r="F1339" s="5"/>
      <c r="G1339" s="5"/>
      <c r="H1339" s="5"/>
      <c r="I1339" s="5"/>
      <c r="J1339" s="5"/>
      <c r="K1339" s="5"/>
      <c r="L1339" s="5"/>
      <c r="M1339" s="5"/>
      <c r="N1339" s="5"/>
      <c r="O1339" s="5"/>
      <c r="P1339" s="5"/>
      <c r="Q1339" s="5"/>
      <c r="R1339" s="5"/>
      <c r="S1339" s="5"/>
      <c r="T1339" s="5"/>
      <c r="U1339" s="5"/>
      <c r="V1339" s="5"/>
      <c r="W1339" s="5"/>
      <c r="X1339" s="5"/>
      <c r="Y1339" s="5"/>
      <c r="Z1339" s="5"/>
    </row>
    <row r="1340" spans="1:26" ht="15.6" x14ac:dyDescent="0.3">
      <c r="A1340" s="19" t="s">
        <v>23</v>
      </c>
      <c r="B1340" s="26" t="s">
        <v>1344</v>
      </c>
      <c r="C1340" s="2" t="str">
        <f ca="1">IFERROR(__xludf.DUMMYFUNCTION("GOOGLETRANSLATE(B1340, ""bn"", ""en"")"),"These piglets seek personal freedom and if someone wears a veil on personal choice, wearing a burqa, they will be burned. Kenre brother! What does individual freedom mean to be like the West?")</f>
        <v>These piglets seek personal freedom and if someone wears a veil on personal choice, wearing a burqa, they will be burned. Kenre brother! What does individual freedom mean to be like the West?</v>
      </c>
      <c r="D1340" s="5"/>
      <c r="E1340" s="5"/>
      <c r="F1340" s="5"/>
      <c r="G1340" s="5"/>
      <c r="H1340" s="5"/>
      <c r="I1340" s="5"/>
      <c r="J1340" s="5"/>
      <c r="K1340" s="5"/>
      <c r="L1340" s="5"/>
      <c r="M1340" s="5"/>
      <c r="N1340" s="5"/>
      <c r="O1340" s="5"/>
      <c r="P1340" s="5"/>
      <c r="Q1340" s="5"/>
      <c r="R1340" s="5"/>
      <c r="S1340" s="5"/>
      <c r="T1340" s="5"/>
      <c r="U1340" s="5"/>
      <c r="V1340" s="5"/>
      <c r="W1340" s="5"/>
      <c r="X1340" s="5"/>
      <c r="Y1340" s="5"/>
      <c r="Z1340" s="5"/>
    </row>
    <row r="1341" spans="1:26" ht="15.6" x14ac:dyDescent="0.3">
      <c r="A1341" s="19" t="s">
        <v>5</v>
      </c>
      <c r="B1341" s="26" t="s">
        <v>1345</v>
      </c>
      <c r="C1341" s="2" t="str">
        <f ca="1">IFERROR(__xludf.DUMMYFUNCTION("GOOGLETRANSLATE(B1341, ""bn"", ""en"")"),"A total of 9 people lost their lives in the incident. On 17 July 2013, the International Criminal Tribunal sentenced Mujahid to death for his involvement in the massacre. In 2015, a four-judge bench of the Appellate Division of the Supreme Court reduced M"&amp;"ujahid's sentence to life imprisonment.[")</f>
        <v>A total of 9 people lost their lives in the incident. On 17 July 2013, the International Criminal Tribunal sentenced Mujahid to death for his involvement in the massacre. In 2015, a four-judge bench of the Appellate Division of the Supreme Court reduced Mujahid's sentence to life imprisonment.[</v>
      </c>
      <c r="D1341" s="7"/>
      <c r="E1341" s="7"/>
      <c r="F1341" s="7"/>
      <c r="G1341" s="7"/>
      <c r="H1341" s="7"/>
      <c r="I1341" s="5"/>
      <c r="J1341" s="5"/>
      <c r="K1341" s="5"/>
      <c r="L1341" s="5"/>
      <c r="M1341" s="5"/>
      <c r="N1341" s="5"/>
      <c r="O1341" s="5"/>
      <c r="P1341" s="5"/>
      <c r="Q1341" s="5"/>
      <c r="R1341" s="5"/>
      <c r="S1341" s="5"/>
      <c r="T1341" s="5"/>
      <c r="U1341" s="5"/>
      <c r="V1341" s="5"/>
      <c r="W1341" s="5"/>
      <c r="X1341" s="5"/>
      <c r="Y1341" s="5"/>
      <c r="Z1341" s="5"/>
    </row>
    <row r="1342" spans="1:26" ht="15.6" x14ac:dyDescent="0.3">
      <c r="A1342" s="19" t="s">
        <v>3</v>
      </c>
      <c r="B1342" s="26" t="s">
        <v>1346</v>
      </c>
      <c r="C1342" s="2" t="str">
        <f ca="1">IFERROR(__xludf.DUMMYFUNCTION("GOOGLETRANSLATE(B1342, ""bn"", ""en"")"),"In order to maintain peace and order, stability and communal harmony in any part of the world, very strict laws are essential to protect the honor of religion, religious books, prophets and companions.")</f>
        <v>In order to maintain peace and order, stability and communal harmony in any part of the world, very strict laws are essential to protect the honor of religion, religious books, prophets and companions.</v>
      </c>
      <c r="D1342" s="5"/>
      <c r="E1342" s="5"/>
      <c r="F1342" s="5"/>
      <c r="G1342" s="5"/>
      <c r="H1342" s="5"/>
      <c r="I1342" s="5"/>
      <c r="J1342" s="5"/>
      <c r="K1342" s="5"/>
      <c r="L1342" s="5"/>
      <c r="M1342" s="5"/>
      <c r="N1342" s="5"/>
      <c r="O1342" s="5"/>
      <c r="P1342" s="5"/>
      <c r="Q1342" s="5"/>
      <c r="R1342" s="5"/>
      <c r="S1342" s="5"/>
      <c r="T1342" s="5"/>
      <c r="U1342" s="5"/>
      <c r="V1342" s="5"/>
      <c r="W1342" s="5"/>
      <c r="X1342" s="5"/>
      <c r="Y1342" s="5"/>
      <c r="Z1342" s="5"/>
    </row>
    <row r="1343" spans="1:26" ht="15.6" x14ac:dyDescent="0.3">
      <c r="A1343" s="18" t="s">
        <v>23</v>
      </c>
      <c r="B1343" s="25" t="s">
        <v>1347</v>
      </c>
      <c r="C1343" s="2" t="str">
        <f ca="1">IFERROR(__xludf.DUMMYFUNCTION("GOOGLETRANSLATE(B1343, ""bn"", ""en"")"),"Turn on secularism. Don't bring religion into politics. They will insult religion by playing politics on religion, they will prove themselves as fools.")</f>
        <v>Turn on secularism. Don't bring religion into politics. They will insult religion by playing politics on religion, they will prove themselves as fools.</v>
      </c>
      <c r="D1343" s="2"/>
      <c r="E1343" s="2"/>
      <c r="F1343" s="2"/>
      <c r="G1343" s="2"/>
      <c r="H1343" s="5"/>
      <c r="I1343" s="5"/>
      <c r="J1343" s="5"/>
      <c r="K1343" s="5"/>
      <c r="L1343" s="5"/>
      <c r="M1343" s="5"/>
      <c r="N1343" s="5"/>
      <c r="O1343" s="5"/>
      <c r="P1343" s="5"/>
      <c r="Q1343" s="5"/>
      <c r="R1343" s="5"/>
      <c r="S1343" s="5"/>
      <c r="T1343" s="5"/>
      <c r="U1343" s="5"/>
      <c r="V1343" s="5"/>
      <c r="W1343" s="5"/>
      <c r="X1343" s="5"/>
      <c r="Y1343" s="5"/>
      <c r="Z1343" s="5"/>
    </row>
    <row r="1344" spans="1:26" ht="15.6" x14ac:dyDescent="0.3">
      <c r="A1344" s="18" t="s">
        <v>5</v>
      </c>
      <c r="B1344" s="24" t="s">
        <v>1348</v>
      </c>
      <c r="C1344" s="2" t="str">
        <f ca="1">IFERROR(__xludf.DUMMYFUNCTION("GOOGLETRANSLATE(B1344, ""bn"", ""en"")"),"37 killed in clashes between religious groups in Feni; Many were injured.")</f>
        <v>37 killed in clashes between religious groups in Feni; Many were injured.</v>
      </c>
      <c r="D1344" s="5"/>
      <c r="E1344" s="5"/>
      <c r="F1344" s="5"/>
      <c r="G1344" s="5"/>
      <c r="H1344" s="5"/>
      <c r="I1344" s="5"/>
      <c r="J1344" s="5"/>
      <c r="K1344" s="5"/>
      <c r="L1344" s="5"/>
      <c r="M1344" s="5"/>
      <c r="N1344" s="5"/>
      <c r="O1344" s="5"/>
      <c r="P1344" s="5"/>
      <c r="Q1344" s="5"/>
      <c r="R1344" s="5"/>
      <c r="S1344" s="5"/>
      <c r="T1344" s="5"/>
      <c r="U1344" s="5"/>
      <c r="V1344" s="5"/>
      <c r="W1344" s="5"/>
      <c r="X1344" s="5"/>
      <c r="Y1344" s="5"/>
      <c r="Z1344" s="5"/>
    </row>
    <row r="1345" spans="1:26" ht="15.6" x14ac:dyDescent="0.3">
      <c r="A1345" s="19" t="s">
        <v>8</v>
      </c>
      <c r="B1345" s="26" t="s">
        <v>1349</v>
      </c>
      <c r="C1345" s="2" t="str">
        <f ca="1">IFERROR(__xludf.DUMMYFUNCTION("GOOGLETRANSLATE(B1345, ""bn"", ""en"")"),"Resident Amal Dutta believes that this attack was planned in 22 districts of Bangladesh. He said, this Bangladesh achieved through the Great War of Liberation is Bangladesh achieved with the blood of Hindu-Muslim-Buddhist-Christian. The attack was carried"&amp;" out as part of a plan to wipe out minorities from that Bangladesh.")</f>
        <v>Resident Amal Dutta believes that this attack was planned in 22 districts of Bangladesh. He said, this Bangladesh achieved through the Great War of Liberation is Bangladesh achieved with the blood of Hindu-Muslim-Buddhist-Christian. The attack was carried out as part of a plan to wipe out minorities from that Bangladesh.</v>
      </c>
      <c r="D1345" s="7"/>
      <c r="E1345" s="7"/>
      <c r="F1345" s="7"/>
      <c r="G1345" s="7"/>
      <c r="H1345" s="7"/>
      <c r="I1345" s="7"/>
      <c r="J1345" s="7"/>
      <c r="K1345" s="5"/>
      <c r="L1345" s="5"/>
      <c r="M1345" s="5"/>
      <c r="N1345" s="5"/>
      <c r="O1345" s="5"/>
      <c r="P1345" s="5"/>
      <c r="Q1345" s="5"/>
      <c r="R1345" s="5"/>
      <c r="S1345" s="5"/>
      <c r="T1345" s="5"/>
      <c r="U1345" s="5"/>
      <c r="V1345" s="5"/>
      <c r="W1345" s="5"/>
      <c r="X1345" s="5"/>
      <c r="Y1345" s="5"/>
      <c r="Z1345" s="5"/>
    </row>
    <row r="1346" spans="1:26" ht="15.6" x14ac:dyDescent="0.3">
      <c r="A1346" s="18" t="s">
        <v>23</v>
      </c>
      <c r="B1346" s="25" t="s">
        <v>1350</v>
      </c>
      <c r="C1346" s="2" t="str">
        <f ca="1">IFERROR(__xludf.DUMMYFUNCTION("GOOGLETRANSLATE(B1346, ""bn"", ""en"")"),"In comparison to the way in which Muslims are tortured and oppressed in particular, the Hindus of Bangladesh are much more dignified.")</f>
        <v>In comparison to the way in which Muslims are tortured and oppressed in particular, the Hindus of Bangladesh are much more dignified.</v>
      </c>
      <c r="D1346" s="2"/>
      <c r="E1346" s="2"/>
      <c r="F1346" s="2"/>
      <c r="G1346" s="2"/>
      <c r="H1346" s="5"/>
      <c r="I1346" s="5"/>
      <c r="J1346" s="5"/>
      <c r="K1346" s="5"/>
      <c r="L1346" s="5"/>
      <c r="M1346" s="5"/>
      <c r="N1346" s="5"/>
      <c r="O1346" s="5"/>
      <c r="P1346" s="5"/>
      <c r="Q1346" s="5"/>
      <c r="R1346" s="5"/>
      <c r="S1346" s="5"/>
      <c r="T1346" s="5"/>
      <c r="U1346" s="5"/>
      <c r="V1346" s="5"/>
      <c r="W1346" s="5"/>
      <c r="X1346" s="5"/>
      <c r="Y1346" s="5"/>
      <c r="Z1346" s="5"/>
    </row>
    <row r="1347" spans="1:26" ht="15.6" x14ac:dyDescent="0.3">
      <c r="A1347" s="18" t="s">
        <v>23</v>
      </c>
      <c r="B1347" s="25" t="s">
        <v>1351</v>
      </c>
      <c r="C1347" s="2" t="str">
        <f ca="1">IFERROR(__xludf.DUMMYFUNCTION("GOOGLETRANSLATE(B1347, ""bn"", ""en"")"),"Conflict is created by misusing religious sentiments, as people are sometimes unconsciously misled.")</f>
        <v>Conflict is created by misusing religious sentiments, as people are sometimes unconsciously misled.</v>
      </c>
      <c r="D1347" s="2"/>
      <c r="E1347" s="2"/>
      <c r="F1347" s="2"/>
      <c r="G1347" s="2"/>
      <c r="H1347" s="3"/>
      <c r="I1347" s="3"/>
      <c r="J1347" s="3"/>
      <c r="K1347" s="3"/>
      <c r="L1347" s="3"/>
      <c r="M1347" s="3"/>
      <c r="N1347" s="3"/>
      <c r="O1347" s="3"/>
      <c r="P1347" s="3"/>
      <c r="Q1347" s="3"/>
      <c r="R1347" s="3"/>
      <c r="S1347" s="3"/>
      <c r="T1347" s="3"/>
      <c r="U1347" s="3"/>
      <c r="V1347" s="3"/>
      <c r="W1347" s="3"/>
      <c r="X1347" s="3"/>
      <c r="Y1347" s="3"/>
      <c r="Z1347" s="3"/>
    </row>
    <row r="1348" spans="1:26" ht="15.6" x14ac:dyDescent="0.3">
      <c r="A1348" s="18" t="s">
        <v>3</v>
      </c>
      <c r="B1348" s="25" t="s">
        <v>1352</v>
      </c>
      <c r="C1348" s="2" t="str">
        <f ca="1">IFERROR(__xludf.DUMMYFUNCTION("GOOGLETRANSLATE(B1348, ""bn"", ""en"")"),"Gautama Buddha, the founder of Buddhism, stayed in Paharpur, Bangladesh, and there are Buddhist stupas there. As a result, it is one of the most sacred places for Buddhists. Tourists from different countries come here every year.")</f>
        <v>Gautama Buddha, the founder of Buddhism, stayed in Paharpur, Bangladesh, and there are Buddhist stupas there. As a result, it is one of the most sacred places for Buddhists. Tourists from different countries come here every year.</v>
      </c>
      <c r="D1348" s="6"/>
      <c r="E1348" s="6"/>
      <c r="F1348" s="6"/>
      <c r="G1348" s="2"/>
      <c r="H1348" s="3"/>
      <c r="I1348" s="3"/>
      <c r="J1348" s="3"/>
      <c r="K1348" s="3"/>
      <c r="L1348" s="3"/>
      <c r="M1348" s="3"/>
      <c r="N1348" s="3"/>
      <c r="O1348" s="3"/>
      <c r="P1348" s="3"/>
      <c r="Q1348" s="3"/>
      <c r="R1348" s="3"/>
      <c r="S1348" s="3"/>
      <c r="T1348" s="3"/>
      <c r="U1348" s="3"/>
      <c r="V1348" s="3"/>
      <c r="W1348" s="3"/>
      <c r="X1348" s="3"/>
      <c r="Y1348" s="3"/>
      <c r="Z1348" s="3"/>
    </row>
    <row r="1349" spans="1:26" ht="15.6" x14ac:dyDescent="0.3">
      <c r="A1349" s="18" t="s">
        <v>8</v>
      </c>
      <c r="B1349" s="25" t="s">
        <v>1353</v>
      </c>
      <c r="C1349" s="2" t="str">
        <f ca="1">IFERROR(__xludf.DUMMYFUNCTION("GOOGLETRANSLATE(B1349, ""bn"", ""en"")"),"Nupur Sharma, the National Official Spokesperson of the ruling party BJP, made the objectionable comment on a TV channel's talk show on May 27 during a debate over the demand to build a temple on the site of Gnanabapi Masjid in Uttar Pradesh.")</f>
        <v>Nupur Sharma, the National Official Spokesperson of the ruling party BJP, made the objectionable comment on a TV channel's talk show on May 27 during a debate over the demand to build a temple on the site of Gnanabapi Masjid in Uttar Pradesh.</v>
      </c>
      <c r="D1349" s="5"/>
      <c r="E1349" s="5"/>
      <c r="F1349" s="5"/>
      <c r="G1349" s="5"/>
      <c r="H1349" s="5"/>
      <c r="I1349" s="5"/>
      <c r="J1349" s="5"/>
      <c r="K1349" s="5"/>
      <c r="L1349" s="5"/>
      <c r="M1349" s="5"/>
      <c r="N1349" s="5"/>
      <c r="O1349" s="5"/>
      <c r="P1349" s="5"/>
      <c r="Q1349" s="5"/>
      <c r="R1349" s="5"/>
      <c r="S1349" s="5"/>
      <c r="T1349" s="5"/>
      <c r="U1349" s="5"/>
      <c r="V1349" s="5"/>
      <c r="W1349" s="5"/>
      <c r="X1349" s="5"/>
      <c r="Y1349" s="5"/>
      <c r="Z1349" s="5"/>
    </row>
    <row r="1350" spans="1:26" ht="15.6" x14ac:dyDescent="0.3">
      <c r="A1350" s="18" t="s">
        <v>3</v>
      </c>
      <c r="B1350" s="25" t="s">
        <v>1354</v>
      </c>
      <c r="C1350" s="2" t="str">
        <f ca="1">IFERROR(__xludf.DUMMYFUNCTION("GOOGLETRANSLATE(B1350, ""bn"", ""en"")"),"Buddha Purnima or Baisakhi Purnima is the holiest festival of Buddhists. This auspicious festival is celebrated on the full moon day of the month of Vaishakh. The full moon day of Vaishakhi commemorates Buddha.")</f>
        <v>Buddha Purnima or Baisakhi Purnima is the holiest festival of Buddhists. This auspicious festival is celebrated on the full moon day of the month of Vaishakh. The full moon day of Vaishakhi commemorates Buddha.</v>
      </c>
      <c r="D1350" s="5"/>
      <c r="E1350" s="5"/>
      <c r="F1350" s="5"/>
      <c r="G1350" s="5"/>
      <c r="H1350" s="5"/>
      <c r="I1350" s="5"/>
      <c r="J1350" s="5"/>
      <c r="K1350" s="5"/>
      <c r="L1350" s="5"/>
      <c r="M1350" s="5"/>
      <c r="N1350" s="5"/>
      <c r="O1350" s="5"/>
      <c r="P1350" s="5"/>
      <c r="Q1350" s="5"/>
      <c r="R1350" s="5"/>
      <c r="S1350" s="5"/>
      <c r="T1350" s="5"/>
      <c r="U1350" s="5"/>
      <c r="V1350" s="5"/>
      <c r="W1350" s="5"/>
      <c r="X1350" s="5"/>
      <c r="Y1350" s="5"/>
      <c r="Z1350" s="5"/>
    </row>
    <row r="1351" spans="1:26" ht="15.6" x14ac:dyDescent="0.3">
      <c r="A1351" s="18" t="s">
        <v>5</v>
      </c>
      <c r="B1351" s="24" t="s">
        <v>1355</v>
      </c>
      <c r="C1351" s="2" t="str">
        <f ca="1">IFERROR(__xludf.DUMMYFUNCTION("GOOGLETRANSLATE(B1351, ""bn"", ""en"")"),"28 people were killed in a religious clash in Faridpur; Terrorists vandalized houses.")</f>
        <v>28 people were killed in a religious clash in Faridpur; Terrorists vandalized houses.</v>
      </c>
      <c r="D1351" s="5"/>
      <c r="E1351" s="5"/>
      <c r="F1351" s="5"/>
      <c r="G1351" s="5"/>
      <c r="H1351" s="5"/>
      <c r="I1351" s="5"/>
      <c r="J1351" s="5"/>
      <c r="K1351" s="5"/>
      <c r="L1351" s="5"/>
      <c r="M1351" s="5"/>
      <c r="N1351" s="5"/>
      <c r="O1351" s="5"/>
      <c r="P1351" s="5"/>
      <c r="Q1351" s="5"/>
      <c r="R1351" s="5"/>
      <c r="S1351" s="5"/>
      <c r="T1351" s="5"/>
      <c r="U1351" s="5"/>
      <c r="V1351" s="5"/>
      <c r="W1351" s="5"/>
      <c r="X1351" s="5"/>
      <c r="Y1351" s="5"/>
      <c r="Z1351" s="5"/>
    </row>
    <row r="1352" spans="1:26" ht="15.6" x14ac:dyDescent="0.3">
      <c r="A1352" s="18" t="s">
        <v>23</v>
      </c>
      <c r="B1352" s="25" t="s">
        <v>1356</v>
      </c>
      <c r="C1352" s="2" t="str">
        <f ca="1">IFERROR(__xludf.DUMMYFUNCTION("GOOGLETRANSLATE(B1352, ""bn"", ""en"")"),"Do you have any idea about Islamic caliphate? If not, read Islamic history and then comment. No one likes to comment knowingly")</f>
        <v>Do you have any idea about Islamic caliphate? If not, read Islamic history and then comment. No one likes to comment knowingly</v>
      </c>
      <c r="D1352" s="5"/>
      <c r="E1352" s="5"/>
      <c r="F1352" s="5"/>
      <c r="G1352" s="5"/>
      <c r="H1352" s="5"/>
      <c r="I1352" s="5"/>
      <c r="J1352" s="5"/>
      <c r="K1352" s="5"/>
      <c r="L1352" s="5"/>
      <c r="M1352" s="5"/>
      <c r="N1352" s="5"/>
      <c r="O1352" s="5"/>
      <c r="P1352" s="5"/>
      <c r="Q1352" s="5"/>
      <c r="R1352" s="5"/>
      <c r="S1352" s="5"/>
      <c r="T1352" s="5"/>
      <c r="U1352" s="5"/>
      <c r="V1352" s="5"/>
      <c r="W1352" s="5"/>
      <c r="X1352" s="5"/>
      <c r="Y1352" s="5"/>
      <c r="Z1352" s="5"/>
    </row>
    <row r="1353" spans="1:26" ht="15.6" x14ac:dyDescent="0.3">
      <c r="A1353" s="18" t="s">
        <v>3</v>
      </c>
      <c r="B1353" s="25" t="s">
        <v>1357</v>
      </c>
      <c r="C1353" s="2" t="str">
        <f ca="1">IFERROR(__xludf.DUMMYFUNCTION("GOOGLETRANSLATE(B1353, ""bn"", ""en"")"),"A tri-cheebar is a four-part garment, consisting of a doajik, an undergarment, a chibeer and a girdle. Buddhist monks are allowed to wear this dress. These robes are given to Buddhist monks at a certain time each year, usually beginning on the Asadhi Purn"&amp;"ima.")</f>
        <v>A tri-cheebar is a four-part garment, consisting of a doajik, an undergarment, a chibeer and a girdle. Buddhist monks are allowed to wear this dress. These robes are given to Buddhist monks at a certain time each year, usually beginning on the Asadhi Purnima.</v>
      </c>
      <c r="D1353" s="5"/>
      <c r="E1353" s="5"/>
      <c r="F1353" s="5"/>
      <c r="G1353" s="5"/>
      <c r="H1353" s="5"/>
      <c r="I1353" s="5"/>
      <c r="J1353" s="5"/>
      <c r="K1353" s="5"/>
      <c r="L1353" s="5"/>
      <c r="M1353" s="5"/>
      <c r="N1353" s="5"/>
      <c r="O1353" s="5"/>
      <c r="P1353" s="5"/>
      <c r="Q1353" s="5"/>
      <c r="R1353" s="5"/>
      <c r="S1353" s="5"/>
      <c r="T1353" s="5"/>
      <c r="U1353" s="5"/>
      <c r="V1353" s="5"/>
      <c r="W1353" s="5"/>
      <c r="X1353" s="5"/>
      <c r="Y1353" s="5"/>
      <c r="Z1353" s="5"/>
    </row>
    <row r="1354" spans="1:26" ht="15.6" x14ac:dyDescent="0.3">
      <c r="A1354" s="18" t="s">
        <v>5</v>
      </c>
      <c r="B1354" s="24" t="s">
        <v>1358</v>
      </c>
      <c r="C1354" s="2" t="str">
        <f ca="1">IFERROR(__xludf.DUMMYFUNCTION("GOOGLETRANSLATE(B1354, ""bn"", ""en"")"),"A religious group forced the closure of the school, killing 15 in the protest.")</f>
        <v>A religious group forced the closure of the school, killing 15 in the protest.</v>
      </c>
      <c r="D1354" s="5"/>
      <c r="E1354" s="5"/>
      <c r="F1354" s="5"/>
      <c r="G1354" s="5"/>
      <c r="H1354" s="5"/>
      <c r="I1354" s="5"/>
      <c r="J1354" s="5"/>
      <c r="K1354" s="5"/>
      <c r="L1354" s="5"/>
      <c r="M1354" s="5"/>
      <c r="N1354" s="5"/>
      <c r="O1354" s="5"/>
      <c r="P1354" s="5"/>
      <c r="Q1354" s="5"/>
      <c r="R1354" s="5"/>
      <c r="S1354" s="5"/>
      <c r="T1354" s="5"/>
      <c r="U1354" s="5"/>
      <c r="V1354" s="5"/>
      <c r="W1354" s="5"/>
      <c r="X1354" s="5"/>
      <c r="Y1354" s="5"/>
      <c r="Z1354" s="5"/>
    </row>
    <row r="1355" spans="1:26" ht="15.6" x14ac:dyDescent="0.3">
      <c r="A1355" s="18" t="s">
        <v>3</v>
      </c>
      <c r="B1355" s="25" t="s">
        <v>1359</v>
      </c>
      <c r="C1355" s="2" t="str">
        <f ca="1">IFERROR(__xludf.DUMMYFUNCTION("GOOGLETRANSLATE(B1355, ""bn"", ""en"")"),"By sharing iftar pictures we share our religious joy and remember the blessings of Allah")</f>
        <v>By sharing iftar pictures we share our religious joy and remember the blessings of Allah</v>
      </c>
      <c r="D1355" s="2"/>
      <c r="E1355" s="2"/>
      <c r="F1355" s="2"/>
      <c r="G1355" s="2"/>
      <c r="H1355" s="5"/>
      <c r="I1355" s="5"/>
      <c r="J1355" s="5"/>
      <c r="K1355" s="5"/>
      <c r="L1355" s="5"/>
      <c r="M1355" s="5"/>
      <c r="N1355" s="5"/>
      <c r="O1355" s="5"/>
      <c r="P1355" s="5"/>
      <c r="Q1355" s="5"/>
      <c r="R1355" s="5"/>
      <c r="S1355" s="5"/>
      <c r="T1355" s="5"/>
      <c r="U1355" s="5"/>
      <c r="V1355" s="5"/>
      <c r="W1355" s="5"/>
      <c r="X1355" s="5"/>
      <c r="Y1355" s="5"/>
      <c r="Z1355" s="5"/>
    </row>
    <row r="1356" spans="1:26" ht="15.6" x14ac:dyDescent="0.3">
      <c r="A1356" s="19" t="s">
        <v>8</v>
      </c>
      <c r="B1356" s="26" t="s">
        <v>1360</v>
      </c>
      <c r="C1356" s="2" t="str">
        <f ca="1">IFERROR(__xludf.DUMMYFUNCTION("GOOGLETRANSLATE(B1356, ""bn"", ""en"")"),"Missionaries and Pentecostal Christians encouraged such activities, which sometimes led to persecution of the Hindu community by some members of the Christian community.")</f>
        <v>Missionaries and Pentecostal Christians encouraged such activities, which sometimes led to persecution of the Hindu community by some members of the Christian community.</v>
      </c>
      <c r="D1356" s="7"/>
      <c r="E1356" s="7"/>
      <c r="F1356" s="7"/>
      <c r="G1356" s="7"/>
      <c r="H1356" s="7"/>
      <c r="I1356" s="7"/>
      <c r="J1356" s="7"/>
      <c r="K1356" s="7"/>
      <c r="L1356" s="7"/>
      <c r="M1356" s="5"/>
      <c r="N1356" s="5"/>
      <c r="O1356" s="5"/>
      <c r="P1356" s="5"/>
      <c r="Q1356" s="5"/>
      <c r="R1356" s="5"/>
      <c r="S1356" s="5"/>
      <c r="T1356" s="5"/>
      <c r="U1356" s="5"/>
      <c r="V1356" s="5"/>
      <c r="W1356" s="5"/>
      <c r="X1356" s="5"/>
      <c r="Y1356" s="5"/>
      <c r="Z1356" s="5"/>
    </row>
    <row r="1357" spans="1:26" ht="15.6" x14ac:dyDescent="0.3">
      <c r="A1357" s="18" t="s">
        <v>5</v>
      </c>
      <c r="B1357" s="25" t="s">
        <v>1361</v>
      </c>
      <c r="C1357" s="2" t="str">
        <f ca="1">IFERROR(__xludf.DUMMYFUNCTION("GOOGLETRANSLATE(B1357, ""bn"", ""en"")"),"In Fenchuganj a steamer company owned by a Hindu was burnt down, Pulin Dey was killed in Ilaspur, and Ambika Kaviraj's house was burnt after looting.")</f>
        <v>In Fenchuganj a steamer company owned by a Hindu was burnt down, Pulin Dey was killed in Ilaspur, and Ambika Kaviraj's house was burnt after looting.</v>
      </c>
      <c r="D1357" s="5"/>
      <c r="E1357" s="5"/>
      <c r="F1357" s="5"/>
      <c r="G1357" s="5"/>
      <c r="H1357" s="5"/>
      <c r="I1357" s="5"/>
      <c r="J1357" s="5"/>
      <c r="K1357" s="5"/>
      <c r="L1357" s="5"/>
      <c r="M1357" s="5"/>
      <c r="N1357" s="5"/>
      <c r="O1357" s="5"/>
      <c r="P1357" s="5"/>
      <c r="Q1357" s="5"/>
      <c r="R1357" s="5"/>
      <c r="S1357" s="5"/>
      <c r="T1357" s="5"/>
      <c r="U1357" s="5"/>
      <c r="V1357" s="5"/>
      <c r="W1357" s="5"/>
      <c r="X1357" s="5"/>
      <c r="Y1357" s="5"/>
      <c r="Z1357" s="5"/>
    </row>
    <row r="1358" spans="1:26" ht="15.6" x14ac:dyDescent="0.3">
      <c r="A1358" s="18" t="s">
        <v>5</v>
      </c>
      <c r="B1358" s="24" t="s">
        <v>1362</v>
      </c>
      <c r="C1358" s="2" t="str">
        <f ca="1">IFERROR(__xludf.DUMMYFUNCTION("GOOGLETRANSLATE(B1358, ""bn"", ""en"")"),"In February 2018, a group of religious zealots and political party members set fire to the houses of minorities, killing at least 39 people.")</f>
        <v>In February 2018, a group of religious zealots and political party members set fire to the houses of minorities, killing at least 39 people.</v>
      </c>
      <c r="D1358" s="5"/>
      <c r="E1358" s="5"/>
      <c r="F1358" s="5"/>
      <c r="G1358" s="5"/>
      <c r="H1358" s="5"/>
      <c r="I1358" s="5"/>
      <c r="J1358" s="5"/>
      <c r="K1358" s="5"/>
      <c r="L1358" s="5"/>
      <c r="M1358" s="5"/>
      <c r="N1358" s="5"/>
      <c r="O1358" s="5"/>
      <c r="P1358" s="5"/>
      <c r="Q1358" s="5"/>
      <c r="R1358" s="5"/>
      <c r="S1358" s="5"/>
      <c r="T1358" s="5"/>
      <c r="U1358" s="5"/>
      <c r="V1358" s="5"/>
      <c r="W1358" s="5"/>
      <c r="X1358" s="5"/>
      <c r="Y1358" s="5"/>
      <c r="Z1358" s="5"/>
    </row>
    <row r="1359" spans="1:26" ht="15.6" x14ac:dyDescent="0.3">
      <c r="A1359" s="19" t="s">
        <v>8</v>
      </c>
      <c r="B1359" s="26" t="s">
        <v>1363</v>
      </c>
      <c r="C1359" s="2" t="str">
        <f ca="1">IFERROR(__xludf.DUMMYFUNCTION("GOOGLETRANSLATE(B1359, ""bn"", ""en"")"),"Militants attacked tribal Buddhist shrines in Bandarban and vandalized religious symbols.")</f>
        <v>Militants attacked tribal Buddhist shrines in Bandarban and vandalized religious symbols.</v>
      </c>
      <c r="D1359" s="5"/>
      <c r="E1359" s="5"/>
      <c r="F1359" s="5"/>
      <c r="G1359" s="5"/>
      <c r="H1359" s="5"/>
      <c r="I1359" s="5"/>
      <c r="J1359" s="5"/>
      <c r="K1359" s="5"/>
      <c r="L1359" s="5"/>
      <c r="M1359" s="5"/>
      <c r="N1359" s="5"/>
      <c r="O1359" s="5"/>
      <c r="P1359" s="5"/>
      <c r="Q1359" s="5"/>
      <c r="R1359" s="5"/>
      <c r="S1359" s="5"/>
      <c r="T1359" s="5"/>
      <c r="U1359" s="5"/>
      <c r="V1359" s="5"/>
      <c r="W1359" s="5"/>
      <c r="X1359" s="5"/>
      <c r="Y1359" s="5"/>
      <c r="Z1359" s="5"/>
    </row>
    <row r="1360" spans="1:26" ht="15.6" x14ac:dyDescent="0.3">
      <c r="A1360" s="19" t="s">
        <v>5</v>
      </c>
      <c r="B1360" s="26" t="s">
        <v>1364</v>
      </c>
      <c r="C1360" s="2" t="str">
        <f ca="1">IFERROR(__xludf.DUMMYFUNCTION("GOOGLETRANSLATE(B1360, ""bn"", ""en"")"),"Music artist Sadi Mohammad committed suicide out of shame and depression")</f>
        <v>Music artist Sadi Mohammad committed suicide out of shame and depression</v>
      </c>
      <c r="D1360" s="5"/>
      <c r="E1360" s="5"/>
      <c r="F1360" s="5"/>
      <c r="G1360" s="5"/>
      <c r="H1360" s="5"/>
      <c r="I1360" s="5"/>
      <c r="J1360" s="5"/>
      <c r="K1360" s="5"/>
      <c r="L1360" s="5"/>
      <c r="M1360" s="5"/>
      <c r="N1360" s="5"/>
      <c r="O1360" s="5"/>
      <c r="P1360" s="5"/>
      <c r="Q1360" s="5"/>
      <c r="R1360" s="5"/>
      <c r="S1360" s="5"/>
      <c r="T1360" s="5"/>
      <c r="U1360" s="5"/>
      <c r="V1360" s="5"/>
      <c r="W1360" s="5"/>
      <c r="X1360" s="5"/>
      <c r="Y1360" s="5"/>
      <c r="Z1360" s="5"/>
    </row>
    <row r="1361" spans="1:26" ht="15.6" x14ac:dyDescent="0.3">
      <c r="A1361" s="19" t="s">
        <v>23</v>
      </c>
      <c r="B1361" s="26" t="s">
        <v>1365</v>
      </c>
      <c r="C1361" s="2" t="str">
        <f ca="1">IFERROR(__xludf.DUMMYFUNCTION("GOOGLETRANSLATE(B1361, ""bn"", ""en"")"),"The procession ended at the then Bahadur Shah Park. At 12 noon some persons, many of them government officials, made violent anti-Hindu speeches during the procession.")</f>
        <v>The procession ended at the then Bahadur Shah Park. At 12 noon some persons, many of them government officials, made violent anti-Hindu speeches during the procession.</v>
      </c>
      <c r="D1361" s="7"/>
      <c r="E1361" s="7"/>
      <c r="F1361" s="7"/>
      <c r="G1361" s="7"/>
      <c r="H1361" s="7"/>
      <c r="I1361" s="7"/>
      <c r="J1361" s="7"/>
      <c r="K1361" s="7"/>
      <c r="L1361" s="7"/>
      <c r="M1361" s="5"/>
      <c r="N1361" s="5"/>
      <c r="O1361" s="5"/>
      <c r="P1361" s="5"/>
      <c r="Q1361" s="5"/>
      <c r="R1361" s="5"/>
      <c r="S1361" s="5"/>
      <c r="T1361" s="5"/>
      <c r="U1361" s="5"/>
      <c r="V1361" s="5"/>
      <c r="W1361" s="5"/>
      <c r="X1361" s="5"/>
      <c r="Y1361" s="5"/>
      <c r="Z1361" s="5"/>
    </row>
    <row r="1362" spans="1:26" ht="15.6" x14ac:dyDescent="0.3">
      <c r="A1362" s="19" t="s">
        <v>3</v>
      </c>
      <c r="B1362" s="26" t="s">
        <v>1366</v>
      </c>
      <c r="C1362" s="2" t="str">
        <f ca="1">IFERROR(__xludf.DUMMYFUNCTION("GOOGLETRANSLATE(B1362, ""bn"", ""en"")"),"While many people in Bangladesh believed in various Hindu gods and goddesses, Islam was the only monotheistic religion that believed in the worship of one God.")</f>
        <v>While many people in Bangladesh believed in various Hindu gods and goddesses, Islam was the only monotheistic religion that believed in the worship of one God.</v>
      </c>
      <c r="D1362" s="7"/>
      <c r="E1362" s="7"/>
      <c r="F1362" s="7"/>
      <c r="G1362" s="7"/>
      <c r="H1362" s="7"/>
      <c r="I1362" s="7"/>
      <c r="J1362" s="7"/>
      <c r="K1362" s="7"/>
      <c r="L1362" s="5"/>
      <c r="M1362" s="5"/>
      <c r="N1362" s="5"/>
      <c r="O1362" s="5"/>
      <c r="P1362" s="5"/>
      <c r="Q1362" s="5"/>
      <c r="R1362" s="5"/>
      <c r="S1362" s="5"/>
      <c r="T1362" s="5"/>
      <c r="U1362" s="5"/>
      <c r="V1362" s="5"/>
      <c r="W1362" s="5"/>
      <c r="X1362" s="5"/>
      <c r="Y1362" s="5"/>
      <c r="Z1362" s="5"/>
    </row>
    <row r="1363" spans="1:26" ht="15.6" x14ac:dyDescent="0.3">
      <c r="A1363" s="18" t="s">
        <v>8</v>
      </c>
      <c r="B1363" s="24" t="s">
        <v>1367</v>
      </c>
      <c r="C1363" s="2" t="str">
        <f ca="1">IFERROR(__xludf.DUMMYFUNCTION("GOOGLETRANSLATE(B1363, ""bn"", ""en"")"),"A Hindu temple in Gaibandha was pelted with stones and the windows were broken, along with dirt thrown at the puja dishes.")</f>
        <v>A Hindu temple in Gaibandha was pelted with stones and the windows were broken, along with dirt thrown at the puja dishes.</v>
      </c>
      <c r="D1363" s="5"/>
      <c r="E1363" s="5"/>
      <c r="F1363" s="5"/>
      <c r="G1363" s="5"/>
      <c r="H1363" s="5"/>
      <c r="I1363" s="5"/>
      <c r="J1363" s="5"/>
      <c r="K1363" s="5"/>
      <c r="L1363" s="5"/>
      <c r="M1363" s="5"/>
      <c r="N1363" s="5"/>
      <c r="O1363" s="5"/>
      <c r="P1363" s="5"/>
      <c r="Q1363" s="5"/>
      <c r="R1363" s="5"/>
      <c r="S1363" s="5"/>
      <c r="T1363" s="5"/>
      <c r="U1363" s="5"/>
      <c r="V1363" s="5"/>
      <c r="W1363" s="5"/>
      <c r="X1363" s="5"/>
      <c r="Y1363" s="5"/>
      <c r="Z1363" s="5"/>
    </row>
    <row r="1364" spans="1:26" ht="15.6" x14ac:dyDescent="0.3">
      <c r="A1364" s="18" t="s">
        <v>23</v>
      </c>
      <c r="B1364" s="24" t="s">
        <v>1368</v>
      </c>
      <c r="C1364" s="2" t="str">
        <f ca="1">IFERROR(__xludf.DUMMYFUNCTION("GOOGLETRANSLATE(B1364, ""bn"", ""en"")"),"Muslim extremists spread religious extremism and increase hatred and violence against other religions.")</f>
        <v>Muslim extremists spread religious extremism and increase hatred and violence against other religions.</v>
      </c>
      <c r="D1364" s="5"/>
      <c r="E1364" s="5"/>
      <c r="F1364" s="5"/>
      <c r="G1364" s="5"/>
      <c r="H1364" s="5"/>
      <c r="I1364" s="5"/>
      <c r="J1364" s="5"/>
      <c r="K1364" s="5"/>
      <c r="L1364" s="5"/>
      <c r="M1364" s="5"/>
      <c r="N1364" s="5"/>
      <c r="O1364" s="5"/>
      <c r="P1364" s="5"/>
      <c r="Q1364" s="5"/>
      <c r="R1364" s="5"/>
      <c r="S1364" s="5"/>
      <c r="T1364" s="5"/>
      <c r="U1364" s="5"/>
      <c r="V1364" s="5"/>
      <c r="W1364" s="5"/>
      <c r="X1364" s="5"/>
      <c r="Y1364" s="5"/>
      <c r="Z1364" s="5"/>
    </row>
    <row r="1365" spans="1:26" ht="15.6" x14ac:dyDescent="0.3">
      <c r="A1365" s="18" t="s">
        <v>3</v>
      </c>
      <c r="B1365" s="25" t="s">
        <v>1369</v>
      </c>
      <c r="C1365" s="2" t="str">
        <f ca="1">IFERROR(__xludf.DUMMYFUNCTION("GOOGLETRANSLATE(B1365, ""bn"", ""en"")"),"The etymology of the word Allah is debated by Arab linguists, and grammarians of the Basra school consider it to be a specific form derived from ""lah"".")</f>
        <v>The etymology of the word Allah is debated by Arab linguists, and grammarians of the Basra school consider it to be a specific form derived from "lah".</v>
      </c>
      <c r="D1365" s="2"/>
      <c r="E1365" s="2"/>
      <c r="F1365" s="2"/>
      <c r="G1365" s="2"/>
      <c r="H1365" s="3"/>
      <c r="I1365" s="3"/>
      <c r="J1365" s="3"/>
      <c r="K1365" s="3"/>
      <c r="L1365" s="3"/>
      <c r="M1365" s="3"/>
      <c r="N1365" s="3"/>
      <c r="O1365" s="3"/>
      <c r="P1365" s="3"/>
      <c r="Q1365" s="3"/>
      <c r="R1365" s="3"/>
      <c r="S1365" s="3"/>
      <c r="T1365" s="3"/>
      <c r="U1365" s="3"/>
      <c r="V1365" s="3"/>
      <c r="W1365" s="3"/>
      <c r="X1365" s="3"/>
      <c r="Y1365" s="3"/>
      <c r="Z1365" s="3"/>
    </row>
    <row r="1366" spans="1:26" ht="15.6" x14ac:dyDescent="0.3">
      <c r="A1366" s="18" t="s">
        <v>5</v>
      </c>
      <c r="B1366" s="25" t="s">
        <v>1370</v>
      </c>
      <c r="C1366" s="2" t="str">
        <f ca="1">IFERROR(__xludf.DUMMYFUNCTION("GOOGLETRANSLATE(B1366, ""bn"", ""en"")"),"After visiting the affected places of worship of the Hindu community, he handed over a donation of 50 thousand taka 1 lakh to the families of Jatan Saha and Thanh Das who died in the violence.")</f>
        <v>After visiting the affected places of worship of the Hindu community, he handed over a donation of 50 thousand taka 1 lakh to the families of Jatan Saha and Thanh Das who died in the violence.</v>
      </c>
      <c r="D1366" s="5"/>
      <c r="E1366" s="5"/>
      <c r="F1366" s="5"/>
      <c r="G1366" s="5"/>
      <c r="H1366" s="5"/>
      <c r="I1366" s="5"/>
      <c r="J1366" s="5"/>
      <c r="K1366" s="5"/>
      <c r="L1366" s="5"/>
      <c r="M1366" s="5"/>
      <c r="N1366" s="5"/>
      <c r="O1366" s="5"/>
      <c r="P1366" s="5"/>
      <c r="Q1366" s="5"/>
      <c r="R1366" s="5"/>
      <c r="S1366" s="5"/>
      <c r="T1366" s="5"/>
      <c r="U1366" s="5"/>
      <c r="V1366" s="5"/>
      <c r="W1366" s="5"/>
      <c r="X1366" s="5"/>
      <c r="Y1366" s="5"/>
      <c r="Z1366" s="5"/>
    </row>
    <row r="1367" spans="1:26" ht="15.6" x14ac:dyDescent="0.3">
      <c r="A1367" s="18" t="s">
        <v>23</v>
      </c>
      <c r="B1367" s="25" t="s">
        <v>1371</v>
      </c>
      <c r="C1367" s="2" t="str">
        <f ca="1">IFERROR(__xludf.DUMMYFUNCTION("GOOGLETRANSLATE(B1367, ""bn"", ""en"")"),"Damage to any religious place, disrespect, hurt religious sentiments in writing or verbally, create disorder in religious ceremonies, trespass to religious place with intent to insult or mutilate religious words or words shall be considered as religious i"&amp;"nsult.")</f>
        <v>Damage to any religious place, disrespect, hurt religious sentiments in writing or verbally, create disorder in religious ceremonies, trespass to religious place with intent to insult or mutilate religious words or words shall be considered as religious insult.</v>
      </c>
      <c r="D1367" s="5"/>
      <c r="E1367" s="5"/>
      <c r="F1367" s="5"/>
      <c r="G1367" s="5"/>
      <c r="H1367" s="5"/>
      <c r="I1367" s="5"/>
      <c r="J1367" s="5"/>
      <c r="K1367" s="5"/>
      <c r="L1367" s="5"/>
      <c r="M1367" s="5"/>
      <c r="N1367" s="5"/>
      <c r="O1367" s="5"/>
      <c r="P1367" s="5"/>
      <c r="Q1367" s="5"/>
      <c r="R1367" s="5"/>
      <c r="S1367" s="5"/>
      <c r="T1367" s="5"/>
      <c r="U1367" s="5"/>
      <c r="V1367" s="5"/>
      <c r="W1367" s="5"/>
      <c r="X1367" s="5"/>
      <c r="Y1367" s="5"/>
      <c r="Z1367" s="5"/>
    </row>
    <row r="1368" spans="1:26" ht="15.6" x14ac:dyDescent="0.3">
      <c r="A1368" s="19" t="s">
        <v>23</v>
      </c>
      <c r="B1368" s="26" t="s">
        <v>1372</v>
      </c>
      <c r="C1368" s="2" t="str">
        <f ca="1">IFERROR(__xludf.DUMMYFUNCTION("GOOGLETRANSLATE(B1368, ""bn"", ""en"")"),"He criticized four marriages in Islam.")</f>
        <v>He criticized four marriages in Islam.</v>
      </c>
      <c r="D1368" s="5"/>
      <c r="E1368" s="5"/>
      <c r="F1368" s="5"/>
      <c r="G1368" s="5"/>
      <c r="H1368" s="5"/>
      <c r="I1368" s="5"/>
      <c r="J1368" s="5"/>
      <c r="K1368" s="5"/>
      <c r="L1368" s="5"/>
      <c r="M1368" s="5"/>
      <c r="N1368" s="5"/>
      <c r="O1368" s="5"/>
      <c r="P1368" s="5"/>
      <c r="Q1368" s="5"/>
      <c r="R1368" s="5"/>
      <c r="S1368" s="5"/>
      <c r="T1368" s="5"/>
      <c r="U1368" s="5"/>
      <c r="V1368" s="5"/>
      <c r="W1368" s="5"/>
      <c r="X1368" s="5"/>
      <c r="Y1368" s="5"/>
      <c r="Z1368" s="5"/>
    </row>
    <row r="1369" spans="1:26" ht="15.6" x14ac:dyDescent="0.3">
      <c r="A1369" s="18" t="s">
        <v>23</v>
      </c>
      <c r="B1369" s="25" t="s">
        <v>1373</v>
      </c>
      <c r="C1369" s="2" t="str">
        <f ca="1">IFERROR(__xludf.DUMMYFUNCTION("GOOGLETRANSLATE(B1369, ""bn"", ""en"")"),"Hindu men are forced to wear caps and beards. Muslims break the hands of women and wipe vermilion from their foreheads. They were converted to Islam by reading Kalema.")</f>
        <v>Hindu men are forced to wear caps and beards. Muslims break the hands of women and wipe vermilion from their foreheads. They were converted to Islam by reading Kalema.</v>
      </c>
      <c r="D1369" s="5"/>
      <c r="E1369" s="5"/>
      <c r="F1369" s="5"/>
      <c r="G1369" s="5"/>
      <c r="H1369" s="5"/>
      <c r="I1369" s="5"/>
      <c r="J1369" s="5"/>
      <c r="K1369" s="5"/>
      <c r="L1369" s="5"/>
      <c r="M1369" s="5"/>
      <c r="N1369" s="5"/>
      <c r="O1369" s="5"/>
      <c r="P1369" s="5"/>
      <c r="Q1369" s="5"/>
      <c r="R1369" s="5"/>
      <c r="S1369" s="5"/>
      <c r="T1369" s="5"/>
      <c r="U1369" s="5"/>
      <c r="V1369" s="5"/>
      <c r="W1369" s="5"/>
      <c r="X1369" s="5"/>
      <c r="Y1369" s="5"/>
      <c r="Z1369" s="5"/>
    </row>
    <row r="1370" spans="1:26" ht="15.6" x14ac:dyDescent="0.3">
      <c r="A1370" s="18" t="s">
        <v>5</v>
      </c>
      <c r="B1370" s="24" t="s">
        <v>1374</v>
      </c>
      <c r="C1370" s="2" t="str">
        <f ca="1">IFERROR(__xludf.DUMMYFUNCTION("GOOGLETRANSLATE(B1370, ""bn"", ""en"")"),"When a religious riot broke out in a village in Barisal, the police tried to bring the situation under control, but the violence quickly spread. At least 54 people were killed and hundreds were injured. Affected families become homeless. Many people fled "&amp;"the village due to lack of security. Despite police interventions, the violence failed to stop.")</f>
        <v>When a religious riot broke out in a village in Barisal, the police tried to bring the situation under control, but the violence quickly spread. At least 54 people were killed and hundreds were injured. Affected families become homeless. Many people fled the village due to lack of security. Despite police interventions, the violence failed to stop.</v>
      </c>
      <c r="D1370" s="5"/>
      <c r="E1370" s="5"/>
      <c r="F1370" s="5"/>
      <c r="G1370" s="5"/>
      <c r="H1370" s="5"/>
      <c r="I1370" s="5"/>
      <c r="J1370" s="5"/>
      <c r="K1370" s="5"/>
      <c r="L1370" s="5"/>
      <c r="M1370" s="5"/>
      <c r="N1370" s="5"/>
      <c r="O1370" s="5"/>
      <c r="P1370" s="5"/>
      <c r="Q1370" s="5"/>
      <c r="R1370" s="5"/>
      <c r="S1370" s="5"/>
      <c r="T1370" s="5"/>
      <c r="U1370" s="5"/>
      <c r="V1370" s="5"/>
      <c r="W1370" s="5"/>
      <c r="X1370" s="5"/>
      <c r="Y1370" s="5"/>
      <c r="Z1370" s="5"/>
    </row>
    <row r="1371" spans="1:26" ht="15.6" x14ac:dyDescent="0.3">
      <c r="A1371" s="18" t="s">
        <v>23</v>
      </c>
      <c r="B1371" s="25" t="s">
        <v>1375</v>
      </c>
      <c r="C1371" s="2" t="str">
        <f ca="1">IFERROR(__xludf.DUMMYFUNCTION("GOOGLETRANSLATE(B1371, ""bn"", ""en"")"),"It's not right to sleep if you let the brutal brother sit!! It is doubtful that there is so much enthusiasm for the construction of a mosque and madrasa on God's property!!!??")</f>
        <v>It's not right to sleep if you let the brutal brother sit!! It is doubtful that there is so much enthusiasm for the construction of a mosque and madrasa on God's property!!!??</v>
      </c>
      <c r="D1371" s="5"/>
      <c r="E1371" s="5"/>
      <c r="F1371" s="5"/>
      <c r="G1371" s="5"/>
      <c r="H1371" s="5"/>
      <c r="I1371" s="5"/>
      <c r="J1371" s="5"/>
      <c r="K1371" s="5"/>
      <c r="L1371" s="5"/>
      <c r="M1371" s="5"/>
      <c r="N1371" s="5"/>
      <c r="O1371" s="5"/>
      <c r="P1371" s="5"/>
      <c r="Q1371" s="5"/>
      <c r="R1371" s="5"/>
      <c r="S1371" s="5"/>
      <c r="T1371" s="5"/>
      <c r="U1371" s="5"/>
      <c r="V1371" s="5"/>
      <c r="W1371" s="5"/>
      <c r="X1371" s="5"/>
      <c r="Y1371" s="5"/>
      <c r="Z1371" s="5"/>
    </row>
    <row r="1372" spans="1:26" ht="15.6" x14ac:dyDescent="0.3">
      <c r="A1372" s="19" t="s">
        <v>23</v>
      </c>
      <c r="B1372" s="26" t="s">
        <v>1376</v>
      </c>
      <c r="C1372" s="2" t="str">
        <f ca="1">IFERROR(__xludf.DUMMYFUNCTION("GOOGLETRANSLATE(B1372, ""bn"", ""en"")"),"I believe that not only Sweden but all those who have insulted my Holy Qur'an given by God will be destroyed one day inshallah.")</f>
        <v>I believe that not only Sweden but all those who have insulted my Holy Qur'an given by God will be destroyed one day inshallah.</v>
      </c>
      <c r="D1372" s="5"/>
      <c r="E1372" s="5"/>
      <c r="F1372" s="5"/>
      <c r="G1372" s="5"/>
      <c r="H1372" s="5"/>
      <c r="I1372" s="5"/>
      <c r="J1372" s="5"/>
      <c r="K1372" s="5"/>
      <c r="L1372" s="5"/>
      <c r="M1372" s="5"/>
      <c r="N1372" s="5"/>
      <c r="O1372" s="5"/>
      <c r="P1372" s="5"/>
      <c r="Q1372" s="5"/>
      <c r="R1372" s="5"/>
      <c r="S1372" s="5"/>
      <c r="T1372" s="5"/>
      <c r="U1372" s="5"/>
      <c r="V1372" s="5"/>
      <c r="W1372" s="5"/>
      <c r="X1372" s="5"/>
      <c r="Y1372" s="5"/>
      <c r="Z1372" s="5"/>
    </row>
    <row r="1373" spans="1:26" ht="15.6" x14ac:dyDescent="0.3">
      <c r="A1373" s="18" t="s">
        <v>3</v>
      </c>
      <c r="B1373" s="25" t="s">
        <v>1377</v>
      </c>
      <c r="C1373" s="2" t="str">
        <f ca="1">IFERROR(__xludf.DUMMYFUNCTION("GOOGLETRANSLATE(B1373, ""bn"", ""en"")"),"In 2011, the government passed the Religious Welfare Trusts (Amendment) Act, which provides funding for newly formed Christian Religious Welfare Trusts under the Christian Religious Welfare Trusts Ordinance, 1983.")</f>
        <v>In 2011, the government passed the Religious Welfare Trusts (Amendment) Act, which provides funding for newly formed Christian Religious Welfare Trusts under the Christian Religious Welfare Trusts Ordinance, 1983.</v>
      </c>
      <c r="D1373" s="5"/>
      <c r="E1373" s="5"/>
      <c r="F1373" s="5"/>
      <c r="G1373" s="5"/>
      <c r="H1373" s="5"/>
      <c r="I1373" s="5"/>
      <c r="J1373" s="5"/>
      <c r="K1373" s="5"/>
      <c r="L1373" s="5"/>
      <c r="M1373" s="5"/>
      <c r="N1373" s="5"/>
      <c r="O1373" s="5"/>
      <c r="P1373" s="5"/>
      <c r="Q1373" s="5"/>
      <c r="R1373" s="5"/>
      <c r="S1373" s="5"/>
      <c r="T1373" s="5"/>
      <c r="U1373" s="5"/>
      <c r="V1373" s="5"/>
      <c r="W1373" s="5"/>
      <c r="X1373" s="5"/>
      <c r="Y1373" s="5"/>
      <c r="Z1373" s="5"/>
    </row>
    <row r="1374" spans="1:26" ht="15.6" x14ac:dyDescent="0.3">
      <c r="A1374" s="18" t="s">
        <v>3</v>
      </c>
      <c r="B1374" s="24" t="s">
        <v>1378</v>
      </c>
      <c r="C1374" s="2" t="str">
        <f ca="1">IFERROR(__xludf.DUMMYFUNCTION("GOOGLETRANSLATE(B1374, ""bn"", ""en"")"),"Love and faith in God gives us spiritual strength.")</f>
        <v>Love and faith in God gives us spiritual strength.</v>
      </c>
      <c r="D1374" s="5"/>
      <c r="E1374" s="5"/>
      <c r="F1374" s="5"/>
      <c r="G1374" s="5"/>
      <c r="H1374" s="5"/>
      <c r="I1374" s="5"/>
      <c r="J1374" s="5"/>
      <c r="K1374" s="5"/>
      <c r="L1374" s="5"/>
      <c r="M1374" s="5"/>
      <c r="N1374" s="5"/>
      <c r="O1374" s="5"/>
      <c r="P1374" s="5"/>
      <c r="Q1374" s="5"/>
      <c r="R1374" s="5"/>
      <c r="S1374" s="5"/>
      <c r="T1374" s="5"/>
      <c r="U1374" s="5"/>
      <c r="V1374" s="5"/>
      <c r="W1374" s="5"/>
      <c r="X1374" s="5"/>
      <c r="Y1374" s="5"/>
      <c r="Z1374" s="5"/>
    </row>
    <row r="1375" spans="1:26" ht="15.6" x14ac:dyDescent="0.3">
      <c r="A1375" s="18" t="s">
        <v>8</v>
      </c>
      <c r="B1375" s="25" t="s">
        <v>1379</v>
      </c>
      <c r="C1375" s="2" t="str">
        <f ca="1">IFERROR(__xludf.DUMMYFUNCTION("GOOGLETRANSLATE(B1375, ""bn"", ""en"")"),"Januar Gula deliberately threw excrement on the path of Hindu volunteers, scattered glass shards and damaged the path, this is deliberate vandalism done out of hatred in the name of religion.")</f>
        <v>Januar Gula deliberately threw excrement on the path of Hindu volunteers, scattered glass shards and damaged the path, this is deliberate vandalism done out of hatred in the name of religion.</v>
      </c>
      <c r="D1375" s="5"/>
      <c r="E1375" s="5"/>
      <c r="F1375" s="5"/>
      <c r="G1375" s="5"/>
      <c r="H1375" s="5"/>
      <c r="I1375" s="5"/>
      <c r="J1375" s="5"/>
      <c r="K1375" s="5"/>
      <c r="L1375" s="5"/>
      <c r="M1375" s="5"/>
      <c r="N1375" s="5"/>
      <c r="O1375" s="5"/>
      <c r="P1375" s="5"/>
      <c r="Q1375" s="5"/>
      <c r="R1375" s="5"/>
      <c r="S1375" s="5"/>
      <c r="T1375" s="5"/>
      <c r="U1375" s="5"/>
      <c r="V1375" s="5"/>
      <c r="W1375" s="5"/>
      <c r="X1375" s="5"/>
      <c r="Y1375" s="5"/>
      <c r="Z1375" s="5"/>
    </row>
    <row r="1376" spans="1:26" ht="15.6" x14ac:dyDescent="0.3">
      <c r="A1376" s="18" t="s">
        <v>5</v>
      </c>
      <c r="B1376" s="24" t="s">
        <v>1380</v>
      </c>
      <c r="C1376" s="2" t="str">
        <f ca="1">IFERROR(__xludf.DUMMYFUNCTION("GOOGLETRANSLATE(B1376, ""bn"", ""en"")"),"At least 45 people were killed in a planned attack on the minority Hindu community in Sirajganj. Their houses were burnt.")</f>
        <v>At least 45 people were killed in a planned attack on the minority Hindu community in Sirajganj. Their houses were burnt.</v>
      </c>
      <c r="D1376" s="5"/>
      <c r="E1376" s="5"/>
      <c r="F1376" s="5"/>
      <c r="G1376" s="5"/>
      <c r="H1376" s="5"/>
      <c r="I1376" s="5"/>
      <c r="J1376" s="5"/>
      <c r="K1376" s="5"/>
      <c r="L1376" s="5"/>
      <c r="M1376" s="5"/>
      <c r="N1376" s="5"/>
      <c r="O1376" s="5"/>
      <c r="P1376" s="5"/>
      <c r="Q1376" s="5"/>
      <c r="R1376" s="5"/>
      <c r="S1376" s="5"/>
      <c r="T1376" s="5"/>
      <c r="U1376" s="5"/>
      <c r="V1376" s="5"/>
      <c r="W1376" s="5"/>
      <c r="X1376" s="5"/>
      <c r="Y1376" s="5"/>
      <c r="Z1376" s="5"/>
    </row>
    <row r="1377" spans="1:26" ht="15.6" x14ac:dyDescent="0.3">
      <c r="A1377" s="18" t="s">
        <v>8</v>
      </c>
      <c r="B1377" s="25" t="s">
        <v>1381</v>
      </c>
      <c r="C1377" s="2" t="str">
        <f ca="1">IFERROR(__xludf.DUMMYFUNCTION("GOOGLETRANSLATE(B1377, ""bn"", ""en"")"),"Leaders of the Hindu-Buddhist-Christian Unity Council said that there have been many incidents of attacks and torture on minorities in the country before.")</f>
        <v>Leaders of the Hindu-Buddhist-Christian Unity Council said that there have been many incidents of attacks and torture on minorities in the country before.</v>
      </c>
      <c r="D1377" s="2"/>
      <c r="E1377" s="2"/>
      <c r="F1377" s="2"/>
      <c r="G1377" s="2"/>
      <c r="H1377" s="3"/>
      <c r="I1377" s="3"/>
      <c r="J1377" s="3"/>
      <c r="K1377" s="3"/>
      <c r="L1377" s="3"/>
      <c r="M1377" s="3"/>
      <c r="N1377" s="3"/>
      <c r="O1377" s="3"/>
      <c r="P1377" s="3"/>
      <c r="Q1377" s="3"/>
      <c r="R1377" s="3"/>
      <c r="S1377" s="3"/>
      <c r="T1377" s="3"/>
      <c r="U1377" s="3"/>
      <c r="V1377" s="3"/>
      <c r="W1377" s="3"/>
      <c r="X1377" s="3"/>
      <c r="Y1377" s="3"/>
      <c r="Z1377" s="3"/>
    </row>
    <row r="1378" spans="1:26" ht="15.6" x14ac:dyDescent="0.3">
      <c r="A1378" s="18" t="s">
        <v>8</v>
      </c>
      <c r="B1378" s="25" t="s">
        <v>1382</v>
      </c>
      <c r="C1378" s="2" t="str">
        <f ca="1">IFERROR(__xludf.DUMMYFUNCTION("GOOGLETRANSLATE(B1378, ""bn"", ""en"")"),"A case has been registered under the Digital Security Act against Jhumon Das Apan, a young man of Noagaon village of Shalla Upazila in Sunamganj, in connection with the attack on Hindu homes based on his Facebook status.")</f>
        <v>A case has been registered under the Digital Security Act against Jhumon Das Apan, a young man of Noagaon village of Shalla Upazila in Sunamganj, in connection with the attack on Hindu homes based on his Facebook status.</v>
      </c>
      <c r="D1378" s="2"/>
      <c r="E1378" s="2"/>
      <c r="F1378" s="2"/>
      <c r="G1378" s="2"/>
      <c r="H1378" s="5"/>
      <c r="I1378" s="5"/>
      <c r="J1378" s="5"/>
      <c r="K1378" s="5"/>
      <c r="L1378" s="5"/>
      <c r="M1378" s="5"/>
      <c r="N1378" s="5"/>
      <c r="O1378" s="5"/>
      <c r="P1378" s="5"/>
      <c r="Q1378" s="5"/>
      <c r="R1378" s="5"/>
      <c r="S1378" s="5"/>
      <c r="T1378" s="5"/>
      <c r="U1378" s="5"/>
      <c r="V1378" s="5"/>
      <c r="W1378" s="5"/>
      <c r="X1378" s="5"/>
      <c r="Y1378" s="5"/>
      <c r="Z1378" s="5"/>
    </row>
    <row r="1379" spans="1:26" ht="15.6" x14ac:dyDescent="0.3">
      <c r="A1379" s="19" t="s">
        <v>3</v>
      </c>
      <c r="B1379" s="26" t="s">
        <v>1383</v>
      </c>
      <c r="C1379" s="2" t="str">
        <f ca="1">IFERROR(__xludf.DUMMYFUNCTION("GOOGLETRANSLATE(B1379, ""bn"", ""en"")"),"There was a lot of fear that I would ever go to heaven, listening to your video has increased my confidence Alhamdulillah.")</f>
        <v>There was a lot of fear that I would ever go to heaven, listening to your video has increased my confidence Alhamdulillah.</v>
      </c>
      <c r="D1379" s="5"/>
      <c r="E1379" s="5"/>
      <c r="F1379" s="5"/>
      <c r="G1379" s="5"/>
      <c r="H1379" s="5"/>
      <c r="I1379" s="5"/>
      <c r="J1379" s="5"/>
      <c r="K1379" s="5"/>
      <c r="L1379" s="5"/>
      <c r="M1379" s="5"/>
      <c r="N1379" s="5"/>
      <c r="O1379" s="5"/>
      <c r="P1379" s="5"/>
      <c r="Q1379" s="5"/>
      <c r="R1379" s="5"/>
      <c r="S1379" s="5"/>
      <c r="T1379" s="5"/>
      <c r="U1379" s="5"/>
      <c r="V1379" s="5"/>
      <c r="W1379" s="5"/>
      <c r="X1379" s="5"/>
      <c r="Y1379" s="5"/>
      <c r="Z1379" s="5"/>
    </row>
    <row r="1380" spans="1:26" ht="15.6" x14ac:dyDescent="0.3">
      <c r="A1380" s="18" t="s">
        <v>8</v>
      </c>
      <c r="B1380" s="25" t="s">
        <v>1384</v>
      </c>
      <c r="C1380" s="2" t="str">
        <f ca="1">IFERROR(__xludf.DUMMYFUNCTION("GOOGLETRANSLATE(B1380, ""bn"", ""en"")"),"Islamist organizations took to the streets in Bangladesh after Friday prayers, chanting inflammatory slogans against heretics, tearing down posters and threatening reprisals for blasphemy.")</f>
        <v>Islamist organizations took to the streets in Bangladesh after Friday prayers, chanting inflammatory slogans against heretics, tearing down posters and threatening reprisals for blasphemy.</v>
      </c>
      <c r="D1380" s="5"/>
      <c r="E1380" s="5"/>
      <c r="F1380" s="5"/>
      <c r="G1380" s="5"/>
      <c r="H1380" s="5"/>
      <c r="I1380" s="5"/>
      <c r="J1380" s="5"/>
      <c r="K1380" s="5"/>
      <c r="L1380" s="5"/>
      <c r="M1380" s="5"/>
      <c r="N1380" s="5"/>
      <c r="O1380" s="5"/>
      <c r="P1380" s="5"/>
      <c r="Q1380" s="5"/>
      <c r="R1380" s="5"/>
      <c r="S1380" s="5"/>
      <c r="T1380" s="5"/>
      <c r="U1380" s="5"/>
      <c r="V1380" s="5"/>
      <c r="W1380" s="5"/>
      <c r="X1380" s="5"/>
      <c r="Y1380" s="5"/>
      <c r="Z1380" s="5"/>
    </row>
    <row r="1381" spans="1:26" ht="15.6" x14ac:dyDescent="0.3">
      <c r="A1381" s="18" t="s">
        <v>23</v>
      </c>
      <c r="B1381" s="25" t="s">
        <v>1385</v>
      </c>
      <c r="C1381" s="2" t="str">
        <f ca="1">IFERROR(__xludf.DUMMYFUNCTION("GOOGLETRANSLATE(B1381, ""bn"", ""en"")"),"Insult is not acceptable as a Muslim. I strongly condemn placing the Holy Quran at the foot of the idol in the Puja Mandap in Comilla, and demand exemplary punishment.")</f>
        <v>Insult is not acceptable as a Muslim. I strongly condemn placing the Holy Quran at the foot of the idol in the Puja Mandap in Comilla, and demand exemplary punishment.</v>
      </c>
      <c r="D1381" s="5"/>
      <c r="E1381" s="5"/>
      <c r="F1381" s="5"/>
      <c r="G1381" s="5"/>
      <c r="H1381" s="5"/>
      <c r="I1381" s="5"/>
      <c r="J1381" s="5"/>
      <c r="K1381" s="5"/>
      <c r="L1381" s="5"/>
      <c r="M1381" s="5"/>
      <c r="N1381" s="5"/>
      <c r="O1381" s="5"/>
      <c r="P1381" s="5"/>
      <c r="Q1381" s="5"/>
      <c r="R1381" s="5"/>
      <c r="S1381" s="5"/>
      <c r="T1381" s="5"/>
      <c r="U1381" s="5"/>
      <c r="V1381" s="5"/>
      <c r="W1381" s="5"/>
      <c r="X1381" s="5"/>
      <c r="Y1381" s="5"/>
      <c r="Z1381" s="5"/>
    </row>
    <row r="1382" spans="1:26" ht="15.6" x14ac:dyDescent="0.3">
      <c r="A1382" s="18" t="s">
        <v>5</v>
      </c>
      <c r="B1382" s="25" t="s">
        <v>1386</v>
      </c>
      <c r="C1382" s="2" t="str">
        <f ca="1">IFERROR(__xludf.DUMMYFUNCTION("GOOGLETRANSLATE(B1382, ""bn"", ""en"")"),"Between August and September 2013, clashes broke out between two major religious communities, Hindus and Muslims, in Sherpur district. The riots left at least 62 dead, including 42 Muslims and 20 Hindus")</f>
        <v>Between August and September 2013, clashes broke out between two major religious communities, Hindus and Muslims, in Sherpur district. The riots left at least 62 dead, including 42 Muslims and 20 Hindus</v>
      </c>
      <c r="D1382" s="6"/>
      <c r="E1382" s="6"/>
      <c r="F1382" s="2"/>
      <c r="G1382" s="2"/>
      <c r="H1382" s="5"/>
      <c r="I1382" s="5"/>
      <c r="J1382" s="5"/>
      <c r="K1382" s="5"/>
      <c r="L1382" s="5"/>
      <c r="M1382" s="5"/>
      <c r="N1382" s="5"/>
      <c r="O1382" s="5"/>
      <c r="P1382" s="5"/>
      <c r="Q1382" s="5"/>
      <c r="R1382" s="5"/>
      <c r="S1382" s="5"/>
      <c r="T1382" s="5"/>
      <c r="U1382" s="5"/>
      <c r="V1382" s="5"/>
      <c r="W1382" s="5"/>
      <c r="X1382" s="5"/>
      <c r="Y1382" s="5"/>
      <c r="Z1382" s="5"/>
    </row>
    <row r="1383" spans="1:26" ht="15.6" x14ac:dyDescent="0.3">
      <c r="A1383" s="18" t="s">
        <v>8</v>
      </c>
      <c r="B1383" s="25" t="s">
        <v>1387</v>
      </c>
      <c r="C1383" s="2" t="str">
        <f ca="1">IFERROR(__xludf.DUMMYFUNCTION("GOOGLETRANSLATE(B1383, ""bn"", ""en"")"),"A Hindu victim said, 'If our temple is attacked, who will we go to?")</f>
        <v>A Hindu victim said, 'If our temple is attacked, who will we go to?</v>
      </c>
      <c r="D1383" s="2"/>
      <c r="E1383" s="2"/>
      <c r="F1383" s="2"/>
      <c r="G1383" s="2"/>
      <c r="H1383" s="3"/>
      <c r="I1383" s="3"/>
      <c r="J1383" s="3"/>
      <c r="K1383" s="3"/>
      <c r="L1383" s="3"/>
      <c r="M1383" s="3"/>
      <c r="N1383" s="3"/>
      <c r="O1383" s="3"/>
      <c r="P1383" s="3"/>
      <c r="Q1383" s="3"/>
      <c r="R1383" s="3"/>
      <c r="S1383" s="3"/>
      <c r="T1383" s="3"/>
      <c r="U1383" s="3"/>
      <c r="V1383" s="3"/>
      <c r="W1383" s="3"/>
      <c r="X1383" s="3"/>
      <c r="Y1383" s="3"/>
      <c r="Z1383" s="3"/>
    </row>
    <row r="1384" spans="1:26" ht="15.6" x14ac:dyDescent="0.3">
      <c r="A1384" s="19" t="s">
        <v>3</v>
      </c>
      <c r="B1384" s="26" t="s">
        <v>1388</v>
      </c>
      <c r="C1384" s="2" t="str">
        <f ca="1">IFERROR(__xludf.DUMMYFUNCTION("GOOGLETRANSLATE(B1384, ""bn"", ""en"")"),"The polytheistic Arabs used the term to refer to the Creator or their supreme deity.[20][21] But not as a single and unique divine power. but rather as an earth-creating and rain-giving being.")</f>
        <v>The polytheistic Arabs used the term to refer to the Creator or their supreme deity.[20][21] But not as a single and unique divine power. but rather as an earth-creating and rain-giving being.</v>
      </c>
      <c r="D1384" s="5"/>
      <c r="E1384" s="5"/>
      <c r="F1384" s="5"/>
      <c r="G1384" s="5"/>
      <c r="H1384" s="5"/>
      <c r="I1384" s="5"/>
      <c r="J1384" s="5"/>
      <c r="K1384" s="5"/>
      <c r="L1384" s="5"/>
      <c r="M1384" s="5"/>
      <c r="N1384" s="5"/>
      <c r="O1384" s="5"/>
      <c r="P1384" s="5"/>
      <c r="Q1384" s="5"/>
      <c r="R1384" s="5"/>
      <c r="S1384" s="5"/>
      <c r="T1384" s="5"/>
      <c r="U1384" s="5"/>
      <c r="V1384" s="5"/>
      <c r="W1384" s="5"/>
      <c r="X1384" s="5"/>
      <c r="Y1384" s="5"/>
      <c r="Z1384" s="5"/>
    </row>
    <row r="1385" spans="1:26" ht="15.6" x14ac:dyDescent="0.3">
      <c r="A1385" s="18" t="s">
        <v>8</v>
      </c>
      <c r="B1385" s="25" t="s">
        <v>1389</v>
      </c>
      <c r="C1385" s="2" t="str">
        <f ca="1">IFERROR(__xludf.DUMMYFUNCTION("GOOGLETRANSLATE(B1385, ""bn"", ""en"")"),"Attack on Muslims during Tarawi Namaz in TSC 2022 at Dhaka University, famous as the Oxford of the East,")</f>
        <v>Attack on Muslims during Tarawi Namaz in TSC 2022 at Dhaka University, famous as the Oxford of the East,</v>
      </c>
      <c r="D1385" s="2"/>
      <c r="E1385" s="2"/>
      <c r="F1385" s="2"/>
      <c r="G1385" s="2"/>
      <c r="H1385" s="3"/>
      <c r="I1385" s="3"/>
      <c r="J1385" s="3"/>
      <c r="K1385" s="3"/>
      <c r="L1385" s="3"/>
      <c r="M1385" s="3"/>
      <c r="N1385" s="3"/>
      <c r="O1385" s="3"/>
      <c r="P1385" s="3"/>
      <c r="Q1385" s="3"/>
      <c r="R1385" s="3"/>
      <c r="S1385" s="3"/>
      <c r="T1385" s="3"/>
      <c r="U1385" s="3"/>
      <c r="V1385" s="3"/>
      <c r="W1385" s="3"/>
      <c r="X1385" s="3"/>
      <c r="Y1385" s="3"/>
      <c r="Z1385" s="3"/>
    </row>
    <row r="1386" spans="1:26" ht="15.6" x14ac:dyDescent="0.3">
      <c r="A1386" s="19" t="s">
        <v>8</v>
      </c>
      <c r="B1386" s="26" t="s">
        <v>1390</v>
      </c>
      <c r="C1386" s="2" t="str">
        <f ca="1">IFERROR(__xludf.DUMMYFUNCTION("GOOGLETRANSLATE(B1386, ""bn"", ""en"")"),"About 5-7 hundred people came to Nefra Sri Sri Durga temple and vandalized grill tins, idols and houses and set fire.")</f>
        <v>About 5-7 hundred people came to Nefra Sri Sri Durga temple and vandalized grill tins, idols and houses and set fire.</v>
      </c>
      <c r="D1386" s="7"/>
      <c r="E1386" s="7"/>
      <c r="F1386" s="7"/>
      <c r="G1386" s="7"/>
      <c r="H1386" s="5"/>
      <c r="I1386" s="5"/>
      <c r="J1386" s="5"/>
      <c r="K1386" s="5"/>
      <c r="L1386" s="5"/>
      <c r="M1386" s="5"/>
      <c r="N1386" s="5"/>
      <c r="O1386" s="5"/>
      <c r="P1386" s="5"/>
      <c r="Q1386" s="5"/>
      <c r="R1386" s="5"/>
      <c r="S1386" s="5"/>
      <c r="T1386" s="5"/>
      <c r="U1386" s="5"/>
      <c r="V1386" s="5"/>
      <c r="W1386" s="5"/>
      <c r="X1386" s="5"/>
      <c r="Y1386" s="5"/>
      <c r="Z1386" s="5"/>
    </row>
    <row r="1387" spans="1:26" ht="15.6" x14ac:dyDescent="0.3">
      <c r="A1387" s="18" t="s">
        <v>5</v>
      </c>
      <c r="B1387" s="24" t="s">
        <v>1391</v>
      </c>
      <c r="C1387" s="2" t="str">
        <f ca="1">IFERROR(__xludf.DUMMYFUNCTION("GOOGLETRANSLATE(B1387, ""bn"", ""en"")"),"In January 2016, a fire at a temple killed 30 people and injured thousands.")</f>
        <v>In January 2016, a fire at a temple killed 30 people and injured thousands.</v>
      </c>
      <c r="D1387" s="5"/>
      <c r="E1387" s="5"/>
      <c r="F1387" s="5"/>
      <c r="G1387" s="5"/>
      <c r="H1387" s="5"/>
      <c r="I1387" s="5"/>
      <c r="J1387" s="5"/>
      <c r="K1387" s="5"/>
      <c r="L1387" s="5"/>
      <c r="M1387" s="5"/>
      <c r="N1387" s="5"/>
      <c r="O1387" s="5"/>
      <c r="P1387" s="5"/>
      <c r="Q1387" s="5"/>
      <c r="R1387" s="5"/>
      <c r="S1387" s="5"/>
      <c r="T1387" s="5"/>
      <c r="U1387" s="5"/>
      <c r="V1387" s="5"/>
      <c r="W1387" s="5"/>
      <c r="X1387" s="5"/>
      <c r="Y1387" s="5"/>
      <c r="Z1387" s="5"/>
    </row>
    <row r="1388" spans="1:26" ht="15.6" x14ac:dyDescent="0.3">
      <c r="A1388" s="18" t="s">
        <v>3</v>
      </c>
      <c r="B1388" s="25" t="s">
        <v>1392</v>
      </c>
      <c r="C1388" s="2" t="str">
        <f ca="1">IFERROR(__xludf.DUMMYFUNCTION("GOOGLETRANSLATE(B1388, ""bn"", ""en"")"),"Allah says in the Qur'an that He has given spiritual education to mankind so that they feel sympathy and love for all religions.")</f>
        <v>Allah says in the Qur'an that He has given spiritual education to mankind so that they feel sympathy and love for all religions.</v>
      </c>
      <c r="D1388" s="5"/>
      <c r="E1388" s="5"/>
      <c r="F1388" s="5"/>
      <c r="G1388" s="5"/>
      <c r="H1388" s="5"/>
      <c r="I1388" s="5"/>
      <c r="J1388" s="5"/>
      <c r="K1388" s="5"/>
      <c r="L1388" s="5"/>
      <c r="M1388" s="5"/>
      <c r="N1388" s="5"/>
      <c r="O1388" s="5"/>
      <c r="P1388" s="5"/>
      <c r="Q1388" s="5"/>
      <c r="R1388" s="5"/>
      <c r="S1388" s="5"/>
      <c r="T1388" s="5"/>
      <c r="U1388" s="5"/>
      <c r="V1388" s="5"/>
      <c r="W1388" s="5"/>
      <c r="X1388" s="5"/>
      <c r="Y1388" s="5"/>
      <c r="Z1388" s="5"/>
    </row>
    <row r="1389" spans="1:26" ht="15.6" x14ac:dyDescent="0.3">
      <c r="A1389" s="18" t="s">
        <v>23</v>
      </c>
      <c r="B1389" s="25" t="s">
        <v>1393</v>
      </c>
      <c r="C1389" s="2" t="str">
        <f ca="1">IFERROR(__xludf.DUMMYFUNCTION("GOOGLETRANSLATE(B1389, ""bn"", ""en"")"),"Shami, the team's most prolific bowler, faced religious hatred after conceding 43 runs in 3.5 overs, despite being the only Muslim cricketer in the World Cup squad.")</f>
        <v>Shami, the team's most prolific bowler, faced religious hatred after conceding 43 runs in 3.5 overs, despite being the only Muslim cricketer in the World Cup squad.</v>
      </c>
      <c r="D1389" s="2"/>
      <c r="E1389" s="2"/>
      <c r="F1389" s="2"/>
      <c r="G1389" s="2"/>
      <c r="H1389" s="3"/>
      <c r="I1389" s="3"/>
      <c r="J1389" s="3"/>
      <c r="K1389" s="3"/>
      <c r="L1389" s="3"/>
      <c r="M1389" s="3"/>
      <c r="N1389" s="3"/>
      <c r="O1389" s="3"/>
      <c r="P1389" s="3"/>
      <c r="Q1389" s="3"/>
      <c r="R1389" s="3"/>
      <c r="S1389" s="3"/>
      <c r="T1389" s="3"/>
      <c r="U1389" s="3"/>
      <c r="V1389" s="3"/>
      <c r="W1389" s="3"/>
      <c r="X1389" s="3"/>
      <c r="Y1389" s="3"/>
      <c r="Z1389" s="3"/>
    </row>
    <row r="1390" spans="1:26" ht="15.6" x14ac:dyDescent="0.3">
      <c r="A1390" s="19" t="s">
        <v>3</v>
      </c>
      <c r="B1390" s="26" t="s">
        <v>1394</v>
      </c>
      <c r="C1390" s="2" t="str">
        <f ca="1">IFERROR(__xludf.DUMMYFUNCTION("GOOGLETRANSLATE(B1390, ""bn"", ""en"")"),"Public gatherings are permitted in madrasas and mosques; Ramganj police said that the public meeting will be held at Amtali ground adjacent to the mosque.")</f>
        <v>Public gatherings are permitted in madrasas and mosques; Ramganj police said that the public meeting will be held at Amtali ground adjacent to the mosque.</v>
      </c>
      <c r="D1390" s="7"/>
      <c r="E1390" s="7"/>
      <c r="F1390" s="7"/>
      <c r="G1390" s="7"/>
      <c r="H1390" s="5"/>
      <c r="I1390" s="5"/>
      <c r="J1390" s="5"/>
      <c r="K1390" s="5"/>
      <c r="L1390" s="5"/>
      <c r="M1390" s="5"/>
      <c r="N1390" s="5"/>
      <c r="O1390" s="5"/>
      <c r="P1390" s="5"/>
      <c r="Q1390" s="5"/>
      <c r="R1390" s="5"/>
      <c r="S1390" s="5"/>
      <c r="T1390" s="5"/>
      <c r="U1390" s="5"/>
      <c r="V1390" s="5"/>
      <c r="W1390" s="5"/>
      <c r="X1390" s="5"/>
      <c r="Y1390" s="5"/>
      <c r="Z1390" s="5"/>
    </row>
    <row r="1391" spans="1:26" ht="15.6" x14ac:dyDescent="0.3">
      <c r="A1391" s="18" t="s">
        <v>23</v>
      </c>
      <c r="B1391" s="25" t="s">
        <v>1395</v>
      </c>
      <c r="C1391" s="2" t="str">
        <f ca="1">IFERROR(__xludf.DUMMYFUNCTION("GOOGLETRANSLATE(B1391, ""bn"", ""en"")"),"In Comilla, the city of life, a protest march from Kashinagar central mosque after Juma prayers will be held next Jumaba to protest against the desecration of the holy book Al-Quran by a group of extremist Muslims.")</f>
        <v>In Comilla, the city of life, a protest march from Kashinagar central mosque after Juma prayers will be held next Jumaba to protest against the desecration of the holy book Al-Quran by a group of extremist Muslims.</v>
      </c>
      <c r="D1391" s="5"/>
      <c r="E1391" s="5"/>
      <c r="F1391" s="5"/>
      <c r="G1391" s="5"/>
      <c r="H1391" s="5"/>
      <c r="I1391" s="5"/>
      <c r="J1391" s="5"/>
      <c r="K1391" s="5"/>
      <c r="L1391" s="5"/>
      <c r="M1391" s="5"/>
      <c r="N1391" s="5"/>
      <c r="O1391" s="5"/>
      <c r="P1391" s="5"/>
      <c r="Q1391" s="5"/>
      <c r="R1391" s="5"/>
      <c r="S1391" s="5"/>
      <c r="T1391" s="5"/>
      <c r="U1391" s="5"/>
      <c r="V1391" s="5"/>
      <c r="W1391" s="5"/>
      <c r="X1391" s="5"/>
      <c r="Y1391" s="5"/>
      <c r="Z1391" s="5"/>
    </row>
    <row r="1392" spans="1:26" ht="15.6" x14ac:dyDescent="0.3">
      <c r="A1392" s="18" t="s">
        <v>23</v>
      </c>
      <c r="B1392" s="25" t="s">
        <v>1396</v>
      </c>
      <c r="C1392" s="2" t="str">
        <f ca="1">IFERROR(__xludf.DUMMYFUNCTION("GOOGLETRANSLATE(B1392, ""bn"", ""en"")"),"The administration will take strict measures to ensure that no such religious gathering and any gathering including political, cultural and social can be held anywhere else in the country.")</f>
        <v>The administration will take strict measures to ensure that no such religious gathering and any gathering including political, cultural and social can be held anywhere else in the country.</v>
      </c>
      <c r="D1392" s="2"/>
      <c r="E1392" s="2"/>
      <c r="F1392" s="2"/>
      <c r="G1392" s="2"/>
      <c r="H1392" s="3"/>
      <c r="I1392" s="3"/>
      <c r="J1392" s="3"/>
      <c r="K1392" s="3"/>
      <c r="L1392" s="3"/>
      <c r="M1392" s="3"/>
      <c r="N1392" s="3"/>
      <c r="O1392" s="3"/>
      <c r="P1392" s="3"/>
      <c r="Q1392" s="3"/>
      <c r="R1392" s="3"/>
      <c r="S1392" s="3"/>
      <c r="T1392" s="3"/>
      <c r="U1392" s="3"/>
      <c r="V1392" s="3"/>
      <c r="W1392" s="3"/>
      <c r="X1392" s="3"/>
      <c r="Y1392" s="3"/>
      <c r="Z1392" s="3"/>
    </row>
    <row r="1393" spans="1:26" ht="15.6" x14ac:dyDescent="0.3">
      <c r="A1393" s="19" t="s">
        <v>23</v>
      </c>
      <c r="B1393" s="26" t="s">
        <v>1397</v>
      </c>
      <c r="C1393" s="2" t="str">
        <f ca="1">IFERROR(__xludf.DUMMYFUNCTION("GOOGLETRANSLATE(B1393, ""bn"", ""en"")"),"After the riots, hatred among Muslims increased.")</f>
        <v>After the riots, hatred among Muslims increased.</v>
      </c>
      <c r="D1393" s="5"/>
      <c r="E1393" s="5"/>
      <c r="F1393" s="5"/>
      <c r="G1393" s="5"/>
      <c r="H1393" s="5"/>
      <c r="I1393" s="5"/>
      <c r="J1393" s="5"/>
      <c r="K1393" s="5"/>
      <c r="L1393" s="5"/>
      <c r="M1393" s="5"/>
      <c r="N1393" s="5"/>
      <c r="O1393" s="5"/>
      <c r="P1393" s="5"/>
      <c r="Q1393" s="5"/>
      <c r="R1393" s="5"/>
      <c r="S1393" s="5"/>
      <c r="T1393" s="5"/>
      <c r="U1393" s="5"/>
      <c r="V1393" s="5"/>
      <c r="W1393" s="5"/>
      <c r="X1393" s="5"/>
      <c r="Y1393" s="5"/>
      <c r="Z1393" s="5"/>
    </row>
    <row r="1394" spans="1:26" ht="15.6" x14ac:dyDescent="0.3">
      <c r="A1394" s="18" t="s">
        <v>23</v>
      </c>
      <c r="B1394" s="25" t="s">
        <v>1398</v>
      </c>
      <c r="C1394" s="2" t="str">
        <f ca="1">IFERROR(__xludf.DUMMYFUNCTION("GOOGLETRANSLATE(B1394, ""bn"", ""en"")"),"People are becoming more and more selfish. Leaders of the United States, powerful countries are accepting the Taliban's takeover of the country by force!!! In which direction we are moving, we seem to be moving backwards!")</f>
        <v>People are becoming more and more selfish. Leaders of the United States, powerful countries are accepting the Taliban's takeover of the country by force!!! In which direction we are moving, we seem to be moving backwards!</v>
      </c>
      <c r="D1394" s="5"/>
      <c r="E1394" s="5"/>
      <c r="F1394" s="5"/>
      <c r="G1394" s="5"/>
      <c r="H1394" s="5"/>
      <c r="I1394" s="5"/>
      <c r="J1394" s="5"/>
      <c r="K1394" s="5"/>
      <c r="L1394" s="5"/>
      <c r="M1394" s="5"/>
      <c r="N1394" s="5"/>
      <c r="O1394" s="5"/>
      <c r="P1394" s="5"/>
      <c r="Q1394" s="5"/>
      <c r="R1394" s="5"/>
      <c r="S1394" s="5"/>
      <c r="T1394" s="5"/>
      <c r="U1394" s="5"/>
      <c r="V1394" s="5"/>
      <c r="W1394" s="5"/>
      <c r="X1394" s="5"/>
      <c r="Y1394" s="5"/>
      <c r="Z1394" s="5"/>
    </row>
    <row r="1395" spans="1:26" ht="15.6" x14ac:dyDescent="0.3">
      <c r="A1395" s="19" t="s">
        <v>8</v>
      </c>
      <c r="B1395" s="25" t="s">
        <v>1399</v>
      </c>
      <c r="C1395" s="2" t="str">
        <f ca="1">IFERROR(__xludf.DUMMYFUNCTION("GOOGLETRANSLATE(B1395, ""bn"", ""en"")"),"On August 1, the police arrested 4 juveniles for allegedly vandalizing an idol at the Shitala temple in Kathulia area of ​​Pirojpur Sadar upazila. All of them are between 12 and 17 years old.")</f>
        <v>On August 1, the police arrested 4 juveniles for allegedly vandalizing an idol at the Shitala temple in Kathulia area of ​​Pirojpur Sadar upazila. All of them are between 12 and 17 years old.</v>
      </c>
      <c r="D1395" s="5"/>
      <c r="E1395" s="5"/>
      <c r="F1395" s="5"/>
      <c r="G1395" s="5"/>
      <c r="H1395" s="5"/>
      <c r="I1395" s="5"/>
      <c r="J1395" s="5"/>
      <c r="K1395" s="5"/>
      <c r="L1395" s="5"/>
      <c r="M1395" s="5"/>
      <c r="N1395" s="5"/>
      <c r="O1395" s="5"/>
      <c r="P1395" s="5"/>
      <c r="Q1395" s="5"/>
      <c r="R1395" s="5"/>
      <c r="S1395" s="5"/>
      <c r="T1395" s="5"/>
      <c r="U1395" s="5"/>
      <c r="V1395" s="5"/>
      <c r="W1395" s="5"/>
      <c r="X1395" s="5"/>
      <c r="Y1395" s="5"/>
      <c r="Z1395" s="5"/>
    </row>
    <row r="1396" spans="1:26" ht="15.6" x14ac:dyDescent="0.3">
      <c r="A1396" s="19" t="s">
        <v>3</v>
      </c>
      <c r="B1396" s="26" t="s">
        <v>1400</v>
      </c>
      <c r="C1396" s="2" t="str">
        <f ca="1">IFERROR(__xludf.DUMMYFUNCTION("GOOGLETRANSLATE(B1396, ""bn"", ""en"")"),"A secular state claims that in that state, all its citizens are treated equally, regardless of religion, and claims preferential treatment based on a citizen's religious beliefs, affiliations, or other identity. Avoid avoids that state.")</f>
        <v>A secular state claims that in that state, all its citizens are treated equally, regardless of religion, and claims preferential treatment based on a citizen's religious beliefs, affiliations, or other identity. Avoid avoids that state.</v>
      </c>
      <c r="D1396" s="7"/>
      <c r="E1396" s="7"/>
      <c r="F1396" s="5"/>
      <c r="G1396" s="5"/>
      <c r="H1396" s="5"/>
      <c r="I1396" s="5"/>
      <c r="J1396" s="5"/>
      <c r="K1396" s="5"/>
      <c r="L1396" s="5"/>
      <c r="M1396" s="5"/>
      <c r="N1396" s="5"/>
      <c r="O1396" s="5"/>
      <c r="P1396" s="5"/>
      <c r="Q1396" s="5"/>
      <c r="R1396" s="5"/>
      <c r="S1396" s="5"/>
      <c r="T1396" s="5"/>
      <c r="U1396" s="5"/>
      <c r="V1396" s="5"/>
      <c r="W1396" s="5"/>
      <c r="X1396" s="5"/>
      <c r="Y1396" s="5"/>
      <c r="Z1396" s="5"/>
    </row>
    <row r="1397" spans="1:26" ht="15.6" x14ac:dyDescent="0.3">
      <c r="A1397" s="19" t="s">
        <v>23</v>
      </c>
      <c r="B1397" s="26" t="s">
        <v>1401</v>
      </c>
      <c r="C1397" s="2" t="str">
        <f ca="1">IFERROR(__xludf.DUMMYFUNCTION("GOOGLETRANSLATE(B1397, ""bn"", ""en"")"),"Apostasy is a sign of contempt for humanity and social unacceptability.")</f>
        <v>Apostasy is a sign of contempt for humanity and social unacceptability.</v>
      </c>
      <c r="D1397" s="5"/>
      <c r="E1397" s="5"/>
      <c r="F1397" s="5"/>
      <c r="G1397" s="5"/>
      <c r="H1397" s="5"/>
      <c r="I1397" s="5"/>
      <c r="J1397" s="5"/>
      <c r="K1397" s="5"/>
      <c r="L1397" s="5"/>
      <c r="M1397" s="5"/>
      <c r="N1397" s="5"/>
      <c r="O1397" s="5"/>
      <c r="P1397" s="5"/>
      <c r="Q1397" s="5"/>
      <c r="R1397" s="5"/>
      <c r="S1397" s="5"/>
      <c r="T1397" s="5"/>
      <c r="U1397" s="5"/>
      <c r="V1397" s="5"/>
      <c r="W1397" s="5"/>
      <c r="X1397" s="5"/>
      <c r="Y1397" s="5"/>
      <c r="Z1397" s="5"/>
    </row>
    <row r="1398" spans="1:26" ht="15.6" x14ac:dyDescent="0.3">
      <c r="A1398" s="19" t="s">
        <v>23</v>
      </c>
      <c r="B1398" s="26" t="s">
        <v>1402</v>
      </c>
      <c r="C1398" s="2" t="str">
        <f ca="1">IFERROR(__xludf.DUMMYFUNCTION("GOOGLETRANSLATE(B1398, ""bn"", ""en"")"),"Arts faculty has so much power!! Then Arabic department should also maintain its own power. No answer should be given.")</f>
        <v>Arts faculty has so much power!! Then Arabic department should also maintain its own power. No answer should be given.</v>
      </c>
      <c r="D1398" s="5"/>
      <c r="E1398" s="5"/>
      <c r="F1398" s="5"/>
      <c r="G1398" s="5"/>
      <c r="H1398" s="5"/>
      <c r="I1398" s="5"/>
      <c r="J1398" s="5"/>
      <c r="K1398" s="5"/>
      <c r="L1398" s="5"/>
      <c r="M1398" s="5"/>
      <c r="N1398" s="5"/>
      <c r="O1398" s="5"/>
      <c r="P1398" s="5"/>
      <c r="Q1398" s="5"/>
      <c r="R1398" s="5"/>
      <c r="S1398" s="5"/>
      <c r="T1398" s="5"/>
      <c r="U1398" s="5"/>
      <c r="V1398" s="5"/>
      <c r="W1398" s="5"/>
      <c r="X1398" s="5"/>
      <c r="Y1398" s="5"/>
      <c r="Z1398" s="5"/>
    </row>
    <row r="1399" spans="1:26" ht="15.6" x14ac:dyDescent="0.3">
      <c r="A1399" s="18" t="s">
        <v>5</v>
      </c>
      <c r="B1399" s="25" t="s">
        <v>1403</v>
      </c>
      <c r="C1399" s="2" t="str">
        <f ca="1">IFERROR(__xludf.DUMMYFUNCTION("GOOGLETRANSLATE(B1399, ""bn"", ""en"")"),"Millions of people have lost their lives in Syria's civil war due to religious divisions, one of which is the conflict between Shia and Sunni Muslims.")</f>
        <v>Millions of people have lost their lives in Syria's civil war due to religious divisions, one of which is the conflict between Shia and Sunni Muslims.</v>
      </c>
      <c r="D1399" s="5"/>
      <c r="E1399" s="5"/>
      <c r="F1399" s="5"/>
      <c r="G1399" s="5"/>
      <c r="H1399" s="5"/>
      <c r="I1399" s="5"/>
      <c r="J1399" s="5"/>
      <c r="K1399" s="5"/>
      <c r="L1399" s="5"/>
      <c r="M1399" s="5"/>
      <c r="N1399" s="5"/>
      <c r="O1399" s="5"/>
      <c r="P1399" s="5"/>
      <c r="Q1399" s="5"/>
      <c r="R1399" s="5"/>
      <c r="S1399" s="5"/>
      <c r="T1399" s="5"/>
      <c r="U1399" s="5"/>
      <c r="V1399" s="5"/>
      <c r="W1399" s="5"/>
      <c r="X1399" s="5"/>
      <c r="Y1399" s="5"/>
      <c r="Z1399" s="5"/>
    </row>
    <row r="1400" spans="1:26" ht="15.6" x14ac:dyDescent="0.3">
      <c r="A1400" s="18" t="s">
        <v>23</v>
      </c>
      <c r="B1400" s="25" t="s">
        <v>1404</v>
      </c>
      <c r="C1400" s="2" t="str">
        <f ca="1">IFERROR(__xludf.DUMMYFUNCTION("GOOGLETRANSLATE(B1400, ""bn"", ""en"")"),"Mohammad Jahangir Islam opened a fake Facebook ID named Akash Saha and made bad comments about Islam.")</f>
        <v>Mohammad Jahangir Islam opened a fake Facebook ID named Akash Saha and made bad comments about Islam.</v>
      </c>
      <c r="D1400" s="7"/>
      <c r="E1400" s="7"/>
      <c r="F1400" s="7"/>
      <c r="G1400" s="7"/>
      <c r="H1400" s="7"/>
      <c r="I1400" s="5"/>
      <c r="J1400" s="5"/>
      <c r="K1400" s="5"/>
      <c r="L1400" s="5"/>
      <c r="M1400" s="5"/>
      <c r="N1400" s="5"/>
      <c r="O1400" s="5"/>
      <c r="P1400" s="5"/>
      <c r="Q1400" s="5"/>
      <c r="R1400" s="5"/>
      <c r="S1400" s="5"/>
      <c r="T1400" s="5"/>
      <c r="U1400" s="5"/>
      <c r="V1400" s="5"/>
      <c r="W1400" s="5"/>
      <c r="X1400" s="5"/>
      <c r="Y1400" s="5"/>
      <c r="Z1400" s="5"/>
    </row>
    <row r="1401" spans="1:26" ht="15.6" x14ac:dyDescent="0.3">
      <c r="A1401" s="18" t="s">
        <v>3</v>
      </c>
      <c r="B1401" s="24" t="s">
        <v>1405</v>
      </c>
      <c r="C1401" s="2" t="str">
        <f ca="1">IFERROR(__xludf.DUMMYFUNCTION("GOOGLETRANSLATE(B1401, ""bn"", ""en"")"),"No religion teaches killing or spreading hatred. Rather, every religion speaks of peace, tolerance and humanity.")</f>
        <v>No religion teaches killing or spreading hatred. Rather, every religion speaks of peace, tolerance and humanity.</v>
      </c>
      <c r="D1401" s="5"/>
      <c r="E1401" s="5"/>
      <c r="F1401" s="5"/>
      <c r="G1401" s="5"/>
      <c r="H1401" s="5"/>
      <c r="I1401" s="5"/>
      <c r="J1401" s="5"/>
      <c r="K1401" s="5"/>
      <c r="L1401" s="5"/>
      <c r="M1401" s="5"/>
      <c r="N1401" s="5"/>
      <c r="O1401" s="5"/>
      <c r="P1401" s="5"/>
      <c r="Q1401" s="5"/>
      <c r="R1401" s="5"/>
      <c r="S1401" s="5"/>
      <c r="T1401" s="5"/>
      <c r="U1401" s="5"/>
      <c r="V1401" s="5"/>
      <c r="W1401" s="5"/>
      <c r="X1401" s="5"/>
      <c r="Y1401" s="5"/>
      <c r="Z1401" s="5"/>
    </row>
    <row r="1402" spans="1:26" ht="15.6" x14ac:dyDescent="0.3">
      <c r="A1402" s="18" t="s">
        <v>5</v>
      </c>
      <c r="B1402" s="24" t="s">
        <v>1406</v>
      </c>
      <c r="C1402" s="2" t="str">
        <f ca="1">IFERROR(__xludf.DUMMYFUNCTION("GOOGLETRANSLATE(B1402, ""bn"", ""en"")"),"On 26 February 2015, writer Abhijit Roy was hacked to death by religious extremists in Dhaka.")</f>
        <v>On 26 February 2015, writer Abhijit Roy was hacked to death by religious extremists in Dhaka.</v>
      </c>
      <c r="D1402" s="5"/>
      <c r="E1402" s="5"/>
      <c r="F1402" s="5"/>
      <c r="G1402" s="5"/>
      <c r="H1402" s="5"/>
      <c r="I1402" s="5"/>
      <c r="J1402" s="5"/>
      <c r="K1402" s="5"/>
      <c r="L1402" s="5"/>
      <c r="M1402" s="5"/>
      <c r="N1402" s="5"/>
      <c r="O1402" s="5"/>
      <c r="P1402" s="5"/>
      <c r="Q1402" s="5"/>
      <c r="R1402" s="5"/>
      <c r="S1402" s="5"/>
      <c r="T1402" s="5"/>
      <c r="U1402" s="5"/>
      <c r="V1402" s="5"/>
      <c r="W1402" s="5"/>
      <c r="X1402" s="5"/>
      <c r="Y1402" s="5"/>
      <c r="Z1402" s="5"/>
    </row>
    <row r="1403" spans="1:26" ht="15.6" x14ac:dyDescent="0.3">
      <c r="A1403" s="19" t="s">
        <v>5</v>
      </c>
      <c r="B1403" s="26" t="s">
        <v>1407</v>
      </c>
      <c r="C1403" s="2" t="str">
        <f ca="1">IFERROR(__xludf.DUMMYFUNCTION("GOOGLETRANSLATE(B1403, ""bn"", ""en"")"),"Khmer Rouge Chams tried to destroy Muslim and ethnic identity by killing leaders and stopping their religious ceremonies and culture to break the social structure of Cham Muslims.")</f>
        <v>Khmer Rouge Chams tried to destroy Muslim and ethnic identity by killing leaders and stopping their religious ceremonies and culture to break the social structure of Cham Muslims.</v>
      </c>
      <c r="D1403" s="7"/>
      <c r="E1403" s="7"/>
      <c r="F1403" s="7"/>
      <c r="G1403" s="7"/>
      <c r="H1403" s="7"/>
      <c r="I1403" s="7"/>
      <c r="J1403" s="7"/>
      <c r="K1403" s="7"/>
      <c r="L1403" s="7"/>
      <c r="M1403" s="7"/>
      <c r="N1403" s="7"/>
      <c r="O1403" s="5"/>
      <c r="P1403" s="5"/>
      <c r="Q1403" s="5"/>
      <c r="R1403" s="5"/>
      <c r="S1403" s="5"/>
      <c r="T1403" s="5"/>
      <c r="U1403" s="5"/>
      <c r="V1403" s="5"/>
      <c r="W1403" s="5"/>
      <c r="X1403" s="5"/>
      <c r="Y1403" s="5"/>
      <c r="Z1403" s="5"/>
    </row>
    <row r="1404" spans="1:26" ht="15.6" x14ac:dyDescent="0.3">
      <c r="A1404" s="18" t="s">
        <v>8</v>
      </c>
      <c r="B1404" s="25" t="s">
        <v>1408</v>
      </c>
      <c r="C1404" s="2" t="str">
        <f ca="1">IFERROR(__xludf.DUMMYFUNCTION("GOOGLETRANSLATE(B1404, ""bn"", ""en"")"),"When the Bakhtiyar cavalry defeated the Hindu kings, the local Buddhists saw the Muslims as their saviors from the oppression of the racist Hindus.")</f>
        <v>When the Bakhtiyar cavalry defeated the Hindu kings, the local Buddhists saw the Muslims as their saviors from the oppression of the racist Hindus.</v>
      </c>
      <c r="D1404" s="2"/>
      <c r="E1404" s="2"/>
      <c r="F1404" s="2"/>
      <c r="G1404" s="2"/>
      <c r="H1404" s="5"/>
      <c r="I1404" s="5"/>
      <c r="J1404" s="5"/>
      <c r="K1404" s="5"/>
      <c r="L1404" s="5"/>
      <c r="M1404" s="5"/>
      <c r="N1404" s="5"/>
      <c r="O1404" s="5"/>
      <c r="P1404" s="5"/>
      <c r="Q1404" s="5"/>
      <c r="R1404" s="5"/>
      <c r="S1404" s="5"/>
      <c r="T1404" s="5"/>
      <c r="U1404" s="5"/>
      <c r="V1404" s="5"/>
      <c r="W1404" s="5"/>
      <c r="X1404" s="5"/>
      <c r="Y1404" s="5"/>
      <c r="Z1404" s="5"/>
    </row>
    <row r="1405" spans="1:26" ht="15.6" x14ac:dyDescent="0.3">
      <c r="A1405" s="18" t="s">
        <v>5</v>
      </c>
      <c r="B1405" s="24" t="s">
        <v>1409</v>
      </c>
      <c r="C1405" s="2" t="str">
        <f ca="1">IFERROR(__xludf.DUMMYFUNCTION("GOOGLETRANSLATE(B1405, ""bn"", ""en"")"),"In October 2019, a group attacked religious book distributors, killing 22 people; Families are forced to leave the village.")</f>
        <v>In October 2019, a group attacked religious book distributors, killing 22 people; Families are forced to leave the village.</v>
      </c>
      <c r="D1405" s="5"/>
      <c r="E1405" s="5"/>
      <c r="F1405" s="5"/>
      <c r="G1405" s="5"/>
      <c r="H1405" s="5"/>
      <c r="I1405" s="5"/>
      <c r="J1405" s="5"/>
      <c r="K1405" s="5"/>
      <c r="L1405" s="5"/>
      <c r="M1405" s="5"/>
      <c r="N1405" s="5"/>
      <c r="O1405" s="5"/>
      <c r="P1405" s="5"/>
      <c r="Q1405" s="5"/>
      <c r="R1405" s="5"/>
      <c r="S1405" s="5"/>
      <c r="T1405" s="5"/>
      <c r="U1405" s="5"/>
      <c r="V1405" s="5"/>
      <c r="W1405" s="5"/>
      <c r="X1405" s="5"/>
      <c r="Y1405" s="5"/>
      <c r="Z1405" s="5"/>
    </row>
    <row r="1406" spans="1:26" ht="15.6" x14ac:dyDescent="0.3">
      <c r="A1406" s="18" t="s">
        <v>5</v>
      </c>
      <c r="B1406" s="25" t="s">
        <v>1410</v>
      </c>
      <c r="C1406" s="2" t="str">
        <f ca="1">IFERROR(__xludf.DUMMYFUNCTION("GOOGLETRANSLATE(B1406, ""bn"", ""en"")"),"With 1 lakh Hindus sheltering in the open in Dhaka, over 1,000 people have died and committed suicide in religious violence in the last week, which has turned into a horrific humanitarian disaster.")</f>
        <v>With 1 lakh Hindus sheltering in the open in Dhaka, over 1,000 people have died and committed suicide in religious violence in the last week, which has turned into a horrific humanitarian disaster.</v>
      </c>
      <c r="D1406" s="5"/>
      <c r="E1406" s="5"/>
      <c r="F1406" s="5"/>
      <c r="G1406" s="5"/>
      <c r="H1406" s="5"/>
      <c r="I1406" s="5"/>
      <c r="J1406" s="5"/>
      <c r="K1406" s="5"/>
      <c r="L1406" s="5"/>
      <c r="M1406" s="5"/>
      <c r="N1406" s="5"/>
      <c r="O1406" s="5"/>
      <c r="P1406" s="5"/>
      <c r="Q1406" s="5"/>
      <c r="R1406" s="5"/>
      <c r="S1406" s="5"/>
      <c r="T1406" s="5"/>
      <c r="U1406" s="5"/>
      <c r="V1406" s="5"/>
      <c r="W1406" s="5"/>
      <c r="X1406" s="5"/>
      <c r="Y1406" s="5"/>
      <c r="Z1406" s="5"/>
    </row>
    <row r="1407" spans="1:26" ht="15.6" x14ac:dyDescent="0.3">
      <c r="A1407" s="18" t="s">
        <v>5</v>
      </c>
      <c r="B1407" s="25" t="s">
        <v>1411</v>
      </c>
      <c r="C1407" s="2" t="str">
        <f ca="1">IFERROR(__xludf.DUMMYFUNCTION("GOOGLETRANSLATE(B1407, ""bn"", ""en"")"),"On February 12, the massacre began in Chittagong city. Muslim mobs attacked Hindu pilgrims who had gathered at Sitakunda on the occasion of Mahashivratri. This is known as the Sitakunda Massacre.")</f>
        <v>On February 12, the massacre began in Chittagong city. Muslim mobs attacked Hindu pilgrims who had gathered at Sitakunda on the occasion of Mahashivratri. This is known as the Sitakunda Massacre.</v>
      </c>
      <c r="D1407" s="5"/>
      <c r="E1407" s="5"/>
      <c r="F1407" s="5"/>
      <c r="G1407" s="5"/>
      <c r="H1407" s="5"/>
      <c r="I1407" s="5"/>
      <c r="J1407" s="5"/>
      <c r="K1407" s="5"/>
      <c r="L1407" s="5"/>
      <c r="M1407" s="5"/>
      <c r="N1407" s="5"/>
      <c r="O1407" s="5"/>
      <c r="P1407" s="5"/>
      <c r="Q1407" s="5"/>
      <c r="R1407" s="5"/>
      <c r="S1407" s="5"/>
      <c r="T1407" s="5"/>
      <c r="U1407" s="5"/>
      <c r="V1407" s="5"/>
      <c r="W1407" s="5"/>
      <c r="X1407" s="5"/>
      <c r="Y1407" s="5"/>
      <c r="Z1407" s="5"/>
    </row>
    <row r="1408" spans="1:26" ht="15.6" x14ac:dyDescent="0.3">
      <c r="A1408" s="19" t="s">
        <v>5</v>
      </c>
      <c r="B1408" s="26" t="s">
        <v>1412</v>
      </c>
      <c r="C1408" s="2" t="str">
        <f ca="1">IFERROR(__xludf.DUMMYFUNCTION("GOOGLETRANSLATE(B1408, ""bn"", ""en"")"),"Six skeletons, believed to be those of Muslims killed in 2002 communal riots, have been found in a mass grave in Ahmedabad.")</f>
        <v>Six skeletons, believed to be those of Muslims killed in 2002 communal riots, have been found in a mass grave in Ahmedabad.</v>
      </c>
      <c r="D1408" s="6"/>
      <c r="E1408" s="6"/>
      <c r="F1408" s="2"/>
      <c r="G1408" s="2"/>
      <c r="H1408" s="3"/>
      <c r="I1408" s="3"/>
      <c r="J1408" s="3"/>
      <c r="K1408" s="3"/>
      <c r="L1408" s="3"/>
      <c r="M1408" s="3"/>
      <c r="N1408" s="3"/>
      <c r="O1408" s="3"/>
      <c r="P1408" s="3"/>
      <c r="Q1408" s="3"/>
      <c r="R1408" s="3"/>
      <c r="S1408" s="3"/>
      <c r="T1408" s="3"/>
      <c r="U1408" s="3"/>
      <c r="V1408" s="3"/>
      <c r="W1408" s="3"/>
      <c r="X1408" s="3"/>
      <c r="Y1408" s="3"/>
      <c r="Z1408" s="3"/>
    </row>
    <row r="1409" spans="1:26" ht="15.6" x14ac:dyDescent="0.3">
      <c r="A1409" s="19" t="s">
        <v>8</v>
      </c>
      <c r="B1409" s="26" t="s">
        <v>1413</v>
      </c>
      <c r="C1409" s="2" t="str">
        <f ca="1">IFERROR(__xludf.DUMMYFUNCTION("GOOGLETRANSLATE(B1409, ""bn"", ""en"")"),"The entire Hindu population of Noakhali was looted and forcibly converted to Islam. [44] Congress President Acharya Kripalani's wife Sucheta Kripalani went to Noakhali to rescue the women. Ghulam Sarwar, the villain of the riots, issues a fatwa that whoev"&amp;"er can rape Sucheta will be paid a lot of money and given the title of Ghazi. Sucheta always kept a potassium cyanide capsule hanging around his neck.[10]")</f>
        <v>The entire Hindu population of Noakhali was looted and forcibly converted to Islam. [44] Congress President Acharya Kripalani's wife Sucheta Kripalani went to Noakhali to rescue the women. Ghulam Sarwar, the villain of the riots, issues a fatwa that whoever can rape Sucheta will be paid a lot of money and given the title of Ghazi. Sucheta always kept a potassium cyanide capsule hanging around his neck.[10]</v>
      </c>
      <c r="D1409" s="7"/>
      <c r="E1409" s="7"/>
      <c r="F1409" s="7"/>
      <c r="G1409" s="7"/>
      <c r="H1409" s="7"/>
      <c r="I1409" s="7"/>
      <c r="J1409" s="7"/>
      <c r="K1409" s="7"/>
      <c r="L1409" s="7"/>
      <c r="M1409" s="7"/>
      <c r="N1409" s="7"/>
      <c r="O1409" s="7"/>
      <c r="P1409" s="7"/>
      <c r="Q1409" s="7"/>
      <c r="R1409" s="7"/>
      <c r="S1409" s="7"/>
      <c r="T1409" s="7"/>
      <c r="U1409" s="7"/>
      <c r="V1409" s="7"/>
      <c r="W1409" s="7"/>
      <c r="X1409" s="5"/>
      <c r="Y1409" s="5"/>
      <c r="Z1409" s="5"/>
    </row>
    <row r="1410" spans="1:26" ht="15.6" x14ac:dyDescent="0.3">
      <c r="A1410" s="18" t="s">
        <v>5</v>
      </c>
      <c r="B1410" s="24" t="s">
        <v>1414</v>
      </c>
      <c r="C1410" s="2" t="str">
        <f ca="1">IFERROR(__xludf.DUMMYFUNCTION("GOOGLETRANSLATE(B1410, ""bn"", ""en"")"),"38 people were killed in a Hindu-Muslim riot in a village of Narsingdi. The police surrounded the area and tried to control the situation but could not control the crowd. Many families fled the village.")</f>
        <v>38 people were killed in a Hindu-Muslim riot in a village of Narsingdi. The police surrounded the area and tried to control the situation but could not control the crowd. Many families fled the village.</v>
      </c>
      <c r="D1410" s="5"/>
      <c r="E1410" s="5"/>
      <c r="F1410" s="5"/>
      <c r="G1410" s="5"/>
      <c r="H1410" s="5"/>
      <c r="I1410" s="5"/>
      <c r="J1410" s="5"/>
      <c r="K1410" s="5"/>
      <c r="L1410" s="5"/>
      <c r="M1410" s="5"/>
      <c r="N1410" s="5"/>
      <c r="O1410" s="5"/>
      <c r="P1410" s="5"/>
      <c r="Q1410" s="5"/>
      <c r="R1410" s="5"/>
      <c r="S1410" s="5"/>
      <c r="T1410" s="5"/>
      <c r="U1410" s="5"/>
      <c r="V1410" s="5"/>
      <c r="W1410" s="5"/>
      <c r="X1410" s="5"/>
      <c r="Y1410" s="5"/>
      <c r="Z1410" s="5"/>
    </row>
    <row r="1411" spans="1:26" ht="15.6" x14ac:dyDescent="0.3">
      <c r="A1411" s="18" t="s">
        <v>3</v>
      </c>
      <c r="B1411" s="25" t="s">
        <v>1415</v>
      </c>
      <c r="C1411" s="2" t="str">
        <f ca="1">IFERROR(__xludf.DUMMYFUNCTION("GOOGLETRANSLATE(B1411, ""bn"", ""en"")"),"After a hundred things, I want to come back again and again under the shadow of God's mercy. My Lord is Forgiving. Thank you dear channel for presenting Bassera so beautifully.")</f>
        <v>After a hundred things, I want to come back again and again under the shadow of God's mercy. My Lord is Forgiving. Thank you dear channel for presenting Bassera so beautifully.</v>
      </c>
      <c r="D1411" s="5"/>
      <c r="E1411" s="5"/>
      <c r="F1411" s="5"/>
      <c r="G1411" s="5"/>
      <c r="H1411" s="5"/>
      <c r="I1411" s="5"/>
      <c r="J1411" s="5"/>
      <c r="K1411" s="5"/>
      <c r="L1411" s="5"/>
      <c r="M1411" s="5"/>
      <c r="N1411" s="5"/>
      <c r="O1411" s="5"/>
      <c r="P1411" s="5"/>
      <c r="Q1411" s="5"/>
      <c r="R1411" s="5"/>
      <c r="S1411" s="5"/>
      <c r="T1411" s="5"/>
      <c r="U1411" s="5"/>
      <c r="V1411" s="5"/>
      <c r="W1411" s="5"/>
      <c r="X1411" s="5"/>
      <c r="Y1411" s="5"/>
      <c r="Z1411" s="5"/>
    </row>
    <row r="1412" spans="1:26" ht="15.6" x14ac:dyDescent="0.3">
      <c r="A1412" s="18" t="s">
        <v>23</v>
      </c>
      <c r="B1412" s="25" t="s">
        <v>1416</v>
      </c>
      <c r="C1412" s="2" t="str">
        <f ca="1">IFERROR(__xludf.DUMMYFUNCTION("GOOGLETRANSLATE(B1412, ""bn"", ""en"")"),"Every post of him complete anti-Islamic extremism! Which means he might have been hurt by a fanatic in some way!")</f>
        <v>Every post of him complete anti-Islamic extremism! Which means he might have been hurt by a fanatic in some way!</v>
      </c>
      <c r="D1412" s="2"/>
      <c r="E1412" s="2"/>
      <c r="F1412" s="2"/>
      <c r="G1412" s="2"/>
      <c r="H1412" s="3"/>
      <c r="I1412" s="3"/>
      <c r="J1412" s="3"/>
      <c r="K1412" s="3"/>
      <c r="L1412" s="3"/>
      <c r="M1412" s="3"/>
      <c r="N1412" s="3"/>
      <c r="O1412" s="3"/>
      <c r="P1412" s="3"/>
      <c r="Q1412" s="3"/>
      <c r="R1412" s="3"/>
      <c r="S1412" s="3"/>
      <c r="T1412" s="3"/>
      <c r="U1412" s="3"/>
      <c r="V1412" s="3"/>
      <c r="W1412" s="3"/>
      <c r="X1412" s="3"/>
      <c r="Y1412" s="3"/>
      <c r="Z1412" s="3"/>
    </row>
    <row r="1413" spans="1:26" ht="15.6" x14ac:dyDescent="0.3">
      <c r="A1413" s="18" t="s">
        <v>5</v>
      </c>
      <c r="B1413" s="24" t="s">
        <v>1417</v>
      </c>
      <c r="C1413" s="2" t="str">
        <f ca="1">IFERROR(__xludf.DUMMYFUNCTION("GOOGLETRANSLATE(B1413, ""bn"", ""en"")"),"Clashes broke out between Hindu and Muslim communities in Kushtia over a religious issue. 28 people were killed in the clash and there was extensive vandalism. Many people were injured.")</f>
        <v>Clashes broke out between Hindu and Muslim communities in Kushtia over a religious issue. 28 people were killed in the clash and there was extensive vandalism. Many people were injured.</v>
      </c>
      <c r="D1413" s="5"/>
      <c r="E1413" s="5"/>
      <c r="F1413" s="5"/>
      <c r="G1413" s="5"/>
      <c r="H1413" s="5"/>
      <c r="I1413" s="5"/>
      <c r="J1413" s="5"/>
      <c r="K1413" s="5"/>
      <c r="L1413" s="5"/>
      <c r="M1413" s="5"/>
      <c r="N1413" s="5"/>
      <c r="O1413" s="5"/>
      <c r="P1413" s="5"/>
      <c r="Q1413" s="5"/>
      <c r="R1413" s="5"/>
      <c r="S1413" s="5"/>
      <c r="T1413" s="5"/>
      <c r="U1413" s="5"/>
      <c r="V1413" s="5"/>
      <c r="W1413" s="5"/>
      <c r="X1413" s="5"/>
      <c r="Y1413" s="5"/>
      <c r="Z1413" s="5"/>
    </row>
    <row r="1414" spans="1:26" ht="15.6" x14ac:dyDescent="0.3">
      <c r="A1414" s="18" t="s">
        <v>3</v>
      </c>
      <c r="B1414" s="25" t="s">
        <v>1418</v>
      </c>
      <c r="C1414" s="2" t="str">
        <f ca="1">IFERROR(__xludf.DUMMYFUNCTION("GOOGLETRANSLATE(B1414, ""bn"", ""en"")"),"If anyone wants to interfere in the internal religious harmony of Bangladesh or instigate communalism, it will bring bad consequences not only for us but also for themselves. Bangladesh is determined to ensure equal status for all religions and ethnic gro"&amp;"ups.")</f>
        <v>If anyone wants to interfere in the internal religious harmony of Bangladesh or instigate communalism, it will bring bad consequences not only for us but also for themselves. Bangladesh is determined to ensure equal status for all religions and ethnic groups.</v>
      </c>
      <c r="D1414" s="5"/>
      <c r="E1414" s="5"/>
      <c r="F1414" s="5"/>
      <c r="G1414" s="5"/>
      <c r="H1414" s="5"/>
      <c r="I1414" s="5"/>
      <c r="J1414" s="5"/>
      <c r="K1414" s="5"/>
      <c r="L1414" s="5"/>
      <c r="M1414" s="5"/>
      <c r="N1414" s="5"/>
      <c r="O1414" s="5"/>
      <c r="P1414" s="5"/>
      <c r="Q1414" s="5"/>
      <c r="R1414" s="5"/>
      <c r="S1414" s="5"/>
      <c r="T1414" s="5"/>
      <c r="U1414" s="5"/>
      <c r="V1414" s="5"/>
      <c r="W1414" s="5"/>
      <c r="X1414" s="5"/>
      <c r="Y1414" s="5"/>
      <c r="Z1414" s="5"/>
    </row>
    <row r="1415" spans="1:26" ht="15.6" x14ac:dyDescent="0.3">
      <c r="A1415" s="19" t="s">
        <v>3</v>
      </c>
      <c r="B1415" s="26" t="s">
        <v>1419</v>
      </c>
      <c r="C1415" s="2" t="str">
        <f ca="1">IFERROR(__xludf.DUMMYFUNCTION("GOOGLETRANSLATE(B1415, ""bn"", ""en"")"),"May Allah guide all those who watch, listen and act on this video and accept them as guests in paradise. I wish the Sheikh a good life.")</f>
        <v>May Allah guide all those who watch, listen and act on this video and accept them as guests in paradise. I wish the Sheikh a good life.</v>
      </c>
      <c r="D1415" s="7"/>
      <c r="E1415" s="7"/>
      <c r="F1415" s="7"/>
      <c r="G1415" s="7"/>
      <c r="H1415" s="7"/>
      <c r="I1415" s="7"/>
      <c r="J1415" s="7"/>
      <c r="K1415" s="7"/>
      <c r="L1415" s="7"/>
      <c r="M1415" s="5"/>
      <c r="N1415" s="5"/>
      <c r="O1415" s="5"/>
      <c r="P1415" s="5"/>
      <c r="Q1415" s="5"/>
      <c r="R1415" s="5"/>
      <c r="S1415" s="5"/>
      <c r="T1415" s="5"/>
      <c r="U1415" s="5"/>
      <c r="V1415" s="5"/>
      <c r="W1415" s="5"/>
      <c r="X1415" s="5"/>
      <c r="Y1415" s="5"/>
      <c r="Z1415" s="5"/>
    </row>
    <row r="1416" spans="1:26" ht="15.6" x14ac:dyDescent="0.3">
      <c r="A1416" s="18" t="s">
        <v>23</v>
      </c>
      <c r="B1416" s="25" t="s">
        <v>1420</v>
      </c>
      <c r="C1416" s="2" t="str">
        <f ca="1">IFERROR(__xludf.DUMMYFUNCTION("GOOGLETRANSLATE(B1416, ""bn"", ""en"")"),"Still, have the leaders of the Hindu community of this country preserved the courtesy of expressing grief? Did anyone tell them that these are the work of some lustful miscreants, that there is no support from the larger Hindu society in two sentences?")</f>
        <v>Still, have the leaders of the Hindu community of this country preserved the courtesy of expressing grief? Did anyone tell them that these are the work of some lustful miscreants, that there is no support from the larger Hindu society in two sentences?</v>
      </c>
      <c r="D1416" s="5"/>
      <c r="E1416" s="5"/>
      <c r="F1416" s="5"/>
      <c r="G1416" s="5"/>
      <c r="H1416" s="5"/>
      <c r="I1416" s="5"/>
      <c r="J1416" s="5"/>
      <c r="K1416" s="5"/>
      <c r="L1416" s="5"/>
      <c r="M1416" s="5"/>
      <c r="N1416" s="5"/>
      <c r="O1416" s="5"/>
      <c r="P1416" s="5"/>
      <c r="Q1416" s="5"/>
      <c r="R1416" s="5"/>
      <c r="S1416" s="5"/>
      <c r="T1416" s="5"/>
      <c r="U1416" s="5"/>
      <c r="V1416" s="5"/>
      <c r="W1416" s="5"/>
      <c r="X1416" s="5"/>
      <c r="Y1416" s="5"/>
      <c r="Z1416" s="5"/>
    </row>
    <row r="1417" spans="1:26" ht="15.6" x14ac:dyDescent="0.3">
      <c r="A1417" s="18" t="s">
        <v>8</v>
      </c>
      <c r="B1417" s="25" t="s">
        <v>1421</v>
      </c>
      <c r="C1417" s="2" t="str">
        <f ca="1">IFERROR(__xludf.DUMMYFUNCTION("GOOGLETRANSLATE(B1417, ""bn"", ""en"")"),"Dighlia village in Lohagra upazila of Narail, where the communal attack took place last Friday, is a Hindu-dominated village.")</f>
        <v>Dighlia village in Lohagra upazila of Narail, where the communal attack took place last Friday, is a Hindu-dominated village.</v>
      </c>
      <c r="D1417" s="2"/>
      <c r="E1417" s="2"/>
      <c r="F1417" s="2"/>
      <c r="G1417" s="2"/>
      <c r="H1417" s="5"/>
      <c r="I1417" s="5"/>
      <c r="J1417" s="5"/>
      <c r="K1417" s="5"/>
      <c r="L1417" s="5"/>
      <c r="M1417" s="5"/>
      <c r="N1417" s="5"/>
      <c r="O1417" s="5"/>
      <c r="P1417" s="5"/>
      <c r="Q1417" s="5"/>
      <c r="R1417" s="5"/>
      <c r="S1417" s="5"/>
      <c r="T1417" s="5"/>
      <c r="U1417" s="5"/>
      <c r="V1417" s="5"/>
      <c r="W1417" s="5"/>
      <c r="X1417" s="5"/>
      <c r="Y1417" s="5"/>
      <c r="Z1417" s="5"/>
    </row>
    <row r="1418" spans="1:26" ht="15.6" x14ac:dyDescent="0.3">
      <c r="A1418" s="18" t="s">
        <v>3</v>
      </c>
      <c r="B1418" s="25" t="s">
        <v>1422</v>
      </c>
      <c r="C1418" s="2" t="str">
        <f ca="1">IFERROR(__xludf.DUMMYFUNCTION("GOOGLETRANSLATE(B1418, ""bn"", ""en"")"),"The Constitution of Bangladesh states that ""the State shall ensure equal status and equal rights in the practice of Hinduism, Buddhism, Christianity and other religions"".")</f>
        <v>The Constitution of Bangladesh states that "the State shall ensure equal status and equal rights in the practice of Hinduism, Buddhism, Christianity and other religions".</v>
      </c>
      <c r="D1418" s="5"/>
      <c r="E1418" s="5"/>
      <c r="F1418" s="5"/>
      <c r="G1418" s="5"/>
      <c r="H1418" s="5"/>
      <c r="I1418" s="5"/>
      <c r="J1418" s="5"/>
      <c r="K1418" s="5"/>
      <c r="L1418" s="5"/>
      <c r="M1418" s="5"/>
      <c r="N1418" s="5"/>
      <c r="O1418" s="5"/>
      <c r="P1418" s="5"/>
      <c r="Q1418" s="5"/>
      <c r="R1418" s="5"/>
      <c r="S1418" s="5"/>
      <c r="T1418" s="5"/>
      <c r="U1418" s="5"/>
      <c r="V1418" s="5"/>
      <c r="W1418" s="5"/>
      <c r="X1418" s="5"/>
      <c r="Y1418" s="5"/>
      <c r="Z1418" s="5"/>
    </row>
    <row r="1419" spans="1:26" ht="15.6" x14ac:dyDescent="0.3">
      <c r="A1419" s="18" t="s">
        <v>5</v>
      </c>
      <c r="B1419" s="24" t="s">
        <v>1423</v>
      </c>
      <c r="C1419" s="2" t="str">
        <f ca="1">IFERROR(__xludf.DUMMYFUNCTION("GOOGLETRANSLATE(B1419, ""bn"", ""en"")"),"In August 2018, a group of religious groups clashed at the school; 22 people were killed in it.")</f>
        <v>In August 2018, a group of religious groups clashed at the school; 22 people were killed in it.</v>
      </c>
      <c r="D1419" s="5"/>
      <c r="E1419" s="5"/>
      <c r="F1419" s="5"/>
      <c r="G1419" s="5"/>
      <c r="H1419" s="5"/>
      <c r="I1419" s="5"/>
      <c r="J1419" s="5"/>
      <c r="K1419" s="5"/>
      <c r="L1419" s="5"/>
      <c r="M1419" s="5"/>
      <c r="N1419" s="5"/>
      <c r="O1419" s="5"/>
      <c r="P1419" s="5"/>
      <c r="Q1419" s="5"/>
      <c r="R1419" s="5"/>
      <c r="S1419" s="5"/>
      <c r="T1419" s="5"/>
      <c r="U1419" s="5"/>
      <c r="V1419" s="5"/>
      <c r="W1419" s="5"/>
      <c r="X1419" s="5"/>
      <c r="Y1419" s="5"/>
      <c r="Z1419" s="5"/>
    </row>
    <row r="1420" spans="1:26" ht="15.6" x14ac:dyDescent="0.3">
      <c r="A1420" s="18" t="s">
        <v>5</v>
      </c>
      <c r="B1420" s="24" t="s">
        <v>1424</v>
      </c>
      <c r="C1420" s="2" t="str">
        <f ca="1">IFERROR(__xludf.DUMMYFUNCTION("GOOGLETRANSLATE(B1420, ""bn"", ""en"")"),"A doctor is hacked to death due to religious dissent, his wife commits suicide in a mental breakdown; A total of 11 people were killed in the incident.")</f>
        <v>A doctor is hacked to death due to religious dissent, his wife commits suicide in a mental breakdown; A total of 11 people were killed in the incident.</v>
      </c>
      <c r="D1420" s="5"/>
      <c r="E1420" s="5"/>
      <c r="F1420" s="5"/>
      <c r="G1420" s="5"/>
      <c r="H1420" s="5"/>
      <c r="I1420" s="5"/>
      <c r="J1420" s="5"/>
      <c r="K1420" s="5"/>
      <c r="L1420" s="5"/>
      <c r="M1420" s="5"/>
      <c r="N1420" s="5"/>
      <c r="O1420" s="5"/>
      <c r="P1420" s="5"/>
      <c r="Q1420" s="5"/>
      <c r="R1420" s="5"/>
      <c r="S1420" s="5"/>
      <c r="T1420" s="5"/>
      <c r="U1420" s="5"/>
      <c r="V1420" s="5"/>
      <c r="W1420" s="5"/>
      <c r="X1420" s="5"/>
      <c r="Y1420" s="5"/>
      <c r="Z1420" s="5"/>
    </row>
    <row r="1421" spans="1:26" ht="15.6" x14ac:dyDescent="0.3">
      <c r="A1421" s="18" t="s">
        <v>23</v>
      </c>
      <c r="B1421" s="25" t="s">
        <v>1425</v>
      </c>
      <c r="C1421" s="2" t="str">
        <f ca="1">IFERROR(__xludf.DUMMYFUNCTION("GOOGLETRANSLATE(B1421, ""bn"", ""en"")"),"Dada/Brother whoever you are we will never accept your rude comments about Islam.")</f>
        <v>Dada/Brother whoever you are we will never accept your rude comments about Islam.</v>
      </c>
      <c r="D1421" s="5"/>
      <c r="E1421" s="5"/>
      <c r="F1421" s="5"/>
      <c r="G1421" s="5"/>
      <c r="H1421" s="5"/>
      <c r="I1421" s="5"/>
      <c r="J1421" s="5"/>
      <c r="K1421" s="5"/>
      <c r="L1421" s="5"/>
      <c r="M1421" s="5"/>
      <c r="N1421" s="5"/>
      <c r="O1421" s="5"/>
      <c r="P1421" s="5"/>
      <c r="Q1421" s="5"/>
      <c r="R1421" s="5"/>
      <c r="S1421" s="5"/>
      <c r="T1421" s="5"/>
      <c r="U1421" s="5"/>
      <c r="V1421" s="5"/>
      <c r="W1421" s="5"/>
      <c r="X1421" s="5"/>
      <c r="Y1421" s="5"/>
      <c r="Z1421" s="5"/>
    </row>
    <row r="1422" spans="1:26" ht="15.6" x14ac:dyDescent="0.3">
      <c r="A1422" s="18" t="s">
        <v>8</v>
      </c>
      <c r="B1422" s="24" t="s">
        <v>1426</v>
      </c>
      <c r="C1422" s="2" t="str">
        <f ca="1">IFERROR(__xludf.DUMMYFUNCTION("GOOGLETRANSLATE(B1422, ""bn"", ""en"")"),"On March 21, 2025, miscreants entered the Radha Gobind temple in Shahjadpur upazila of Sirajganj at night, broke the wooden door and vandalized the idols of Radha and Krishna on the ground.")</f>
        <v>On March 21, 2025, miscreants entered the Radha Gobind temple in Shahjadpur upazila of Sirajganj at night, broke the wooden door and vandalized the idols of Radha and Krishna on the ground.</v>
      </c>
      <c r="D1422" s="5"/>
      <c r="E1422" s="5"/>
      <c r="F1422" s="5"/>
      <c r="G1422" s="5"/>
      <c r="H1422" s="5"/>
      <c r="I1422" s="5"/>
      <c r="J1422" s="5"/>
      <c r="K1422" s="5"/>
      <c r="L1422" s="5"/>
      <c r="M1422" s="5"/>
      <c r="N1422" s="5"/>
      <c r="O1422" s="5"/>
      <c r="P1422" s="5"/>
      <c r="Q1422" s="5"/>
      <c r="R1422" s="5"/>
      <c r="S1422" s="5"/>
      <c r="T1422" s="5"/>
      <c r="U1422" s="5"/>
      <c r="V1422" s="5"/>
      <c r="W1422" s="5"/>
      <c r="X1422" s="5"/>
      <c r="Y1422" s="5"/>
      <c r="Z1422" s="5"/>
    </row>
    <row r="1423" spans="1:26" ht="15.6" x14ac:dyDescent="0.3">
      <c r="A1423" s="18" t="s">
        <v>23</v>
      </c>
      <c r="B1423" s="25" t="s">
        <v>1427</v>
      </c>
      <c r="C1423" s="2" t="str">
        <f ca="1">IFERROR(__xludf.DUMMYFUNCTION("GOOGLETRANSLATE(B1423, ""bn"", ""en"")"),"I condemn all those people who hurt the religious sentiments of people of other religions.")</f>
        <v>I condemn all those people who hurt the religious sentiments of people of other religions.</v>
      </c>
      <c r="D1423" s="2"/>
      <c r="E1423" s="2"/>
      <c r="F1423" s="2"/>
      <c r="G1423" s="2"/>
      <c r="H1423" s="3"/>
      <c r="I1423" s="3"/>
      <c r="J1423" s="3"/>
      <c r="K1423" s="3"/>
      <c r="L1423" s="3"/>
      <c r="M1423" s="3"/>
      <c r="N1423" s="3"/>
      <c r="O1423" s="3"/>
      <c r="P1423" s="3"/>
      <c r="Q1423" s="3"/>
      <c r="R1423" s="3"/>
      <c r="S1423" s="3"/>
      <c r="T1423" s="3"/>
      <c r="U1423" s="3"/>
      <c r="V1423" s="3"/>
      <c r="W1423" s="3"/>
      <c r="X1423" s="3"/>
      <c r="Y1423" s="3"/>
      <c r="Z1423" s="3"/>
    </row>
    <row r="1424" spans="1:26" ht="15.6" x14ac:dyDescent="0.3">
      <c r="A1424" s="18" t="s">
        <v>23</v>
      </c>
      <c r="B1424" s="24" t="s">
        <v>1428</v>
      </c>
      <c r="C1424" s="2" t="str">
        <f ca="1">IFERROR(__xludf.DUMMYFUNCTION("GOOGLETRANSLATE(B1424, ""bn"", ""en"")"),"Some members of the Christian community tried to break the social unity in the name of conversion.")</f>
        <v>Some members of the Christian community tried to break the social unity in the name of conversion.</v>
      </c>
      <c r="D1424" s="5"/>
      <c r="E1424" s="5"/>
      <c r="F1424" s="5"/>
      <c r="G1424" s="5"/>
      <c r="H1424" s="5"/>
      <c r="I1424" s="5"/>
      <c r="J1424" s="5"/>
      <c r="K1424" s="5"/>
      <c r="L1424" s="5"/>
      <c r="M1424" s="5"/>
      <c r="N1424" s="5"/>
      <c r="O1424" s="5"/>
      <c r="P1424" s="5"/>
      <c r="Q1424" s="5"/>
      <c r="R1424" s="5"/>
      <c r="S1424" s="5"/>
      <c r="T1424" s="5"/>
      <c r="U1424" s="5"/>
      <c r="V1424" s="5"/>
      <c r="W1424" s="5"/>
      <c r="X1424" s="5"/>
      <c r="Y1424" s="5"/>
      <c r="Z1424" s="5"/>
    </row>
    <row r="1425" spans="1:26" ht="15.6" x14ac:dyDescent="0.3">
      <c r="A1425" s="19" t="s">
        <v>8</v>
      </c>
      <c r="B1425" s="26" t="s">
        <v>1429</v>
      </c>
      <c r="C1425" s="2" t="str">
        <f ca="1">IFERROR(__xludf.DUMMYFUNCTION("GOOGLETRANSLATE(B1425, ""bn"", ""en"")"),"Hindu attacks on Muslims have increased")</f>
        <v>Hindu attacks on Muslims have increased</v>
      </c>
      <c r="D1425" s="5"/>
      <c r="E1425" s="5"/>
      <c r="F1425" s="5"/>
      <c r="G1425" s="5"/>
      <c r="H1425" s="5"/>
      <c r="I1425" s="5"/>
      <c r="J1425" s="5"/>
      <c r="K1425" s="5"/>
      <c r="L1425" s="5"/>
      <c r="M1425" s="5"/>
      <c r="N1425" s="5"/>
      <c r="O1425" s="5"/>
      <c r="P1425" s="5"/>
      <c r="Q1425" s="5"/>
      <c r="R1425" s="5"/>
      <c r="S1425" s="5"/>
      <c r="T1425" s="5"/>
      <c r="U1425" s="5"/>
      <c r="V1425" s="5"/>
      <c r="W1425" s="5"/>
      <c r="X1425" s="5"/>
      <c r="Y1425" s="5"/>
      <c r="Z1425" s="5"/>
    </row>
    <row r="1426" spans="1:26" ht="15.6" x14ac:dyDescent="0.3">
      <c r="A1426" s="19" t="s">
        <v>8</v>
      </c>
      <c r="B1426" s="26" t="s">
        <v>1430</v>
      </c>
      <c r="C1426" s="2" t="str">
        <f ca="1">IFERROR(__xludf.DUMMYFUNCTION("GOOGLETRANSLATE(B1426, ""bn"", ""en"")"),"Temples were attacked in Chandpur, Chittagong and Cox's Bazar after pictures and videos went viral, which may be the result of unverified propaganda by Facebook authorities.")</f>
        <v>Temples were attacked in Chandpur, Chittagong and Cox's Bazar after pictures and videos went viral, which may be the result of unverified propaganda by Facebook authorities.</v>
      </c>
      <c r="D1426" s="7"/>
      <c r="E1426" s="7"/>
      <c r="F1426" s="7"/>
      <c r="G1426" s="7"/>
      <c r="H1426" s="7"/>
      <c r="I1426" s="7"/>
      <c r="J1426" s="5"/>
      <c r="K1426" s="5"/>
      <c r="L1426" s="5"/>
      <c r="M1426" s="5"/>
      <c r="N1426" s="5"/>
      <c r="O1426" s="5"/>
      <c r="P1426" s="5"/>
      <c r="Q1426" s="5"/>
      <c r="R1426" s="5"/>
      <c r="S1426" s="5"/>
      <c r="T1426" s="5"/>
      <c r="U1426" s="5"/>
      <c r="V1426" s="5"/>
      <c r="W1426" s="5"/>
      <c r="X1426" s="5"/>
      <c r="Y1426" s="5"/>
      <c r="Z1426" s="5"/>
    </row>
    <row r="1427" spans="1:26" ht="15.6" x14ac:dyDescent="0.3">
      <c r="A1427" s="18" t="s">
        <v>8</v>
      </c>
      <c r="B1427" s="25" t="s">
        <v>1431</v>
      </c>
      <c r="C1427" s="2" t="str">
        <f ca="1">IFERROR(__xludf.DUMMYFUNCTION("GOOGLETRANSLATE(B1427, ""bn"", ""en"")"),"On February 6, a group of 300 Muslims attacked the village of Akhra. When the village temple priest escaped, they destroyed all the images and idols.")</f>
        <v>On February 6, a group of 300 Muslims attacked the village of Akhra. When the village temple priest escaped, they destroyed all the images and idols.</v>
      </c>
      <c r="D1427" s="5"/>
      <c r="E1427" s="5"/>
      <c r="F1427" s="5"/>
      <c r="G1427" s="5"/>
      <c r="H1427" s="5"/>
      <c r="I1427" s="5"/>
      <c r="J1427" s="5"/>
      <c r="K1427" s="5"/>
      <c r="L1427" s="5"/>
      <c r="M1427" s="5"/>
      <c r="N1427" s="5"/>
      <c r="O1427" s="5"/>
      <c r="P1427" s="5"/>
      <c r="Q1427" s="5"/>
      <c r="R1427" s="5"/>
      <c r="S1427" s="5"/>
      <c r="T1427" s="5"/>
      <c r="U1427" s="5"/>
      <c r="V1427" s="5"/>
      <c r="W1427" s="5"/>
      <c r="X1427" s="5"/>
      <c r="Y1427" s="5"/>
      <c r="Z1427" s="5"/>
    </row>
    <row r="1428" spans="1:26" ht="15.6" x14ac:dyDescent="0.3">
      <c r="A1428" s="18" t="s">
        <v>3</v>
      </c>
      <c r="B1428" s="25" t="s">
        <v>1432</v>
      </c>
      <c r="C1428" s="2" t="str">
        <f ca="1">IFERROR(__xludf.DUMMYFUNCTION("GOOGLETRANSLATE(B1428, ""bn"", ""en"")"),"We all want to be guests of Jannatul Ferdous. We will all meet in heaven. Inshallah")</f>
        <v>We all want to be guests of Jannatul Ferdous. We will all meet in heaven. Inshallah</v>
      </c>
      <c r="D1428" s="5"/>
      <c r="E1428" s="5"/>
      <c r="F1428" s="5"/>
      <c r="G1428" s="5"/>
      <c r="H1428" s="5"/>
      <c r="I1428" s="5"/>
      <c r="J1428" s="5"/>
      <c r="K1428" s="5"/>
      <c r="L1428" s="5"/>
      <c r="M1428" s="5"/>
      <c r="N1428" s="5"/>
      <c r="O1428" s="5"/>
      <c r="P1428" s="5"/>
      <c r="Q1428" s="5"/>
      <c r="R1428" s="5"/>
      <c r="S1428" s="5"/>
      <c r="T1428" s="5"/>
      <c r="U1428" s="5"/>
      <c r="V1428" s="5"/>
      <c r="W1428" s="5"/>
      <c r="X1428" s="5"/>
      <c r="Y1428" s="5"/>
      <c r="Z1428" s="5"/>
    </row>
    <row r="1429" spans="1:26" ht="15.6" x14ac:dyDescent="0.3">
      <c r="A1429" s="18" t="s">
        <v>23</v>
      </c>
      <c r="B1429" s="24" t="s">
        <v>1433</v>
      </c>
      <c r="C1429" s="2" t="str">
        <f ca="1">IFERROR(__xludf.DUMMYFUNCTION("GOOGLETRANSLATE(B1429, ""bn"", ""en"")"),"Hindus often show contemptuous attitude towards other religions which creates religious unrest in the society.")</f>
        <v>Hindus often show contemptuous attitude towards other religions which creates religious unrest in the society.</v>
      </c>
      <c r="D1429" s="5"/>
      <c r="E1429" s="5"/>
      <c r="F1429" s="5"/>
      <c r="G1429" s="5"/>
      <c r="H1429" s="5"/>
      <c r="I1429" s="5"/>
      <c r="J1429" s="5"/>
      <c r="K1429" s="5"/>
      <c r="L1429" s="5"/>
      <c r="M1429" s="5"/>
      <c r="N1429" s="5"/>
      <c r="O1429" s="5"/>
      <c r="P1429" s="5"/>
      <c r="Q1429" s="5"/>
      <c r="R1429" s="5"/>
      <c r="S1429" s="5"/>
      <c r="T1429" s="5"/>
      <c r="U1429" s="5"/>
      <c r="V1429" s="5"/>
      <c r="W1429" s="5"/>
      <c r="X1429" s="5"/>
      <c r="Y1429" s="5"/>
      <c r="Z1429" s="5"/>
    </row>
    <row r="1430" spans="1:26" ht="15.6" x14ac:dyDescent="0.3">
      <c r="A1430" s="19" t="s">
        <v>23</v>
      </c>
      <c r="B1430" s="26" t="s">
        <v>1434</v>
      </c>
      <c r="C1430" s="2" t="str">
        <f ca="1">IFERROR(__xludf.DUMMYFUNCTION("GOOGLETRANSLATE(B1430, ""bn"", ""en"")"),"So discussing a subject like science at all without him is, I think, a disgrace to him (especially in the case of Muslims).")</f>
        <v>So discussing a subject like science at all without him is, I think, a disgrace to him (especially in the case of Muslims).</v>
      </c>
      <c r="D1430" s="5"/>
      <c r="E1430" s="5"/>
      <c r="F1430" s="5"/>
      <c r="G1430" s="5"/>
      <c r="H1430" s="5"/>
      <c r="I1430" s="5"/>
      <c r="J1430" s="5"/>
      <c r="K1430" s="5"/>
      <c r="L1430" s="5"/>
      <c r="M1430" s="5"/>
      <c r="N1430" s="5"/>
      <c r="O1430" s="5"/>
      <c r="P1430" s="5"/>
      <c r="Q1430" s="5"/>
      <c r="R1430" s="5"/>
      <c r="S1430" s="5"/>
      <c r="T1430" s="5"/>
      <c r="U1430" s="5"/>
      <c r="V1430" s="5"/>
      <c r="W1430" s="5"/>
      <c r="X1430" s="5"/>
      <c r="Y1430" s="5"/>
      <c r="Z1430" s="5"/>
    </row>
    <row r="1431" spans="1:26" ht="15.6" x14ac:dyDescent="0.3">
      <c r="A1431" s="18" t="s">
        <v>3</v>
      </c>
      <c r="B1431" s="25" t="s">
        <v>1435</v>
      </c>
      <c r="C1431" s="2" t="str">
        <f ca="1">IFERROR(__xludf.DUMMYFUNCTION("GOOGLETRANSLATE(B1431, ""bn"", ""en"")"),"A sane person can never make disrespectful comments about someone's religion or beliefs, because religion is a very important part of every person's personal beliefs and feelings. Everyone should respect each other's religion and beliefs.")</f>
        <v>A sane person can never make disrespectful comments about someone's religion or beliefs, because religion is a very important part of every person's personal beliefs and feelings. Everyone should respect each other's religion and beliefs.</v>
      </c>
      <c r="D1431" s="6"/>
      <c r="E1431" s="6"/>
      <c r="F1431" s="6"/>
      <c r="G1431" s="6"/>
      <c r="H1431" s="5"/>
      <c r="I1431" s="5"/>
      <c r="J1431" s="5"/>
      <c r="K1431" s="5"/>
      <c r="L1431" s="5"/>
      <c r="M1431" s="5"/>
      <c r="N1431" s="5"/>
      <c r="O1431" s="5"/>
      <c r="P1431" s="5"/>
      <c r="Q1431" s="5"/>
      <c r="R1431" s="5"/>
      <c r="S1431" s="5"/>
      <c r="T1431" s="5"/>
      <c r="U1431" s="5"/>
      <c r="V1431" s="5"/>
      <c r="W1431" s="5"/>
      <c r="X1431" s="5"/>
      <c r="Y1431" s="5"/>
      <c r="Z1431" s="5"/>
    </row>
    <row r="1432" spans="1:26" ht="15.6" x14ac:dyDescent="0.3">
      <c r="A1432" s="18" t="s">
        <v>5</v>
      </c>
      <c r="B1432" s="24" t="s">
        <v>1436</v>
      </c>
      <c r="C1432" s="2" t="str">
        <f ca="1">IFERROR(__xludf.DUMMYFUNCTION("GOOGLETRANSLATE(B1432, ""bn"", ""en"")"),"A religious group killed a child in a temple, 20 people were killed in protest clashes.")</f>
        <v>A religious group killed a child in a temple, 20 people were killed in protest clashes.</v>
      </c>
      <c r="D1432" s="5"/>
      <c r="E1432" s="5"/>
      <c r="F1432" s="5"/>
      <c r="G1432" s="5"/>
      <c r="H1432" s="5"/>
      <c r="I1432" s="5"/>
      <c r="J1432" s="5"/>
      <c r="K1432" s="5"/>
      <c r="L1432" s="5"/>
      <c r="M1432" s="5"/>
      <c r="N1432" s="5"/>
      <c r="O1432" s="5"/>
      <c r="P1432" s="5"/>
      <c r="Q1432" s="5"/>
      <c r="R1432" s="5"/>
      <c r="S1432" s="5"/>
      <c r="T1432" s="5"/>
      <c r="U1432" s="5"/>
      <c r="V1432" s="5"/>
      <c r="W1432" s="5"/>
      <c r="X1432" s="5"/>
      <c r="Y1432" s="5"/>
      <c r="Z1432" s="5"/>
    </row>
    <row r="1433" spans="1:26" ht="15.6" x14ac:dyDescent="0.3">
      <c r="A1433" s="19" t="s">
        <v>3</v>
      </c>
      <c r="B1433" s="26" t="s">
        <v>1437</v>
      </c>
      <c r="C1433" s="2" t="str">
        <f ca="1">IFERROR(__xludf.DUMMYFUNCTION("GOOGLETRANSLATE(B1433, ""bn"", ""en"")"),"Allah, do not deprive us of the blessings of Paradise. Guide us as our Lord and guide us to the right path.")</f>
        <v>Allah, do not deprive us of the blessings of Paradise. Guide us as our Lord and guide us to the right path.</v>
      </c>
      <c r="D1433" s="7"/>
      <c r="E1433" s="7"/>
      <c r="F1433" s="7"/>
      <c r="G1433" s="7"/>
      <c r="H1433" s="7"/>
      <c r="I1433" s="7"/>
      <c r="J1433" s="7"/>
      <c r="K1433" s="5"/>
      <c r="L1433" s="5"/>
      <c r="M1433" s="5"/>
      <c r="N1433" s="5"/>
      <c r="O1433" s="5"/>
      <c r="P1433" s="5"/>
      <c r="Q1433" s="5"/>
      <c r="R1433" s="5"/>
      <c r="S1433" s="5"/>
      <c r="T1433" s="5"/>
      <c r="U1433" s="5"/>
      <c r="V1433" s="5"/>
      <c r="W1433" s="5"/>
      <c r="X1433" s="5"/>
      <c r="Y1433" s="5"/>
      <c r="Z1433" s="5"/>
    </row>
    <row r="1434" spans="1:26" ht="15.6" x14ac:dyDescent="0.3">
      <c r="A1434" s="19" t="s">
        <v>5</v>
      </c>
      <c r="B1434" s="26" t="s">
        <v>1438</v>
      </c>
      <c r="C1434" s="2" t="str">
        <f ca="1">IFERROR(__xludf.DUMMYFUNCTION("GOOGLETRANSLATE(B1434, ""bn"", ""en"")"),"The Muslims attacked the women's educational institution and attempted to kill the head clerk Avni Guhra and Yogajeevan Bose.")</f>
        <v>The Muslims attacked the women's educational institution and attempted to kill the head clerk Avni Guhra and Yogajeevan Bose.</v>
      </c>
      <c r="D1434" s="7"/>
      <c r="E1434" s="7"/>
      <c r="F1434" s="7"/>
      <c r="G1434" s="7"/>
      <c r="H1434" s="5"/>
      <c r="I1434" s="5"/>
      <c r="J1434" s="5"/>
      <c r="K1434" s="5"/>
      <c r="L1434" s="5"/>
      <c r="M1434" s="5"/>
      <c r="N1434" s="5"/>
      <c r="O1434" s="5"/>
      <c r="P1434" s="5"/>
      <c r="Q1434" s="5"/>
      <c r="R1434" s="5"/>
      <c r="S1434" s="5"/>
      <c r="T1434" s="5"/>
      <c r="U1434" s="5"/>
      <c r="V1434" s="5"/>
      <c r="W1434" s="5"/>
      <c r="X1434" s="5"/>
      <c r="Y1434" s="5"/>
      <c r="Z1434" s="5"/>
    </row>
    <row r="1435" spans="1:26" ht="15.6" x14ac:dyDescent="0.3">
      <c r="A1435" s="18" t="s">
        <v>23</v>
      </c>
      <c r="B1435" s="25" t="s">
        <v>1439</v>
      </c>
      <c r="C1435" s="2" t="str">
        <f ca="1">IFERROR(__xludf.DUMMYFUNCTION("GOOGLETRANSLATE(B1435, ""bn"", ""en"")"),"In Nuh, Hindus and Muslims have been living side by side in peace for many years. Now it seems that someone has deliberately poured poison into the relationship!")</f>
        <v>In Nuh, Hindus and Muslims have been living side by side in peace for many years. Now it seems that someone has deliberately poured poison into the relationship!</v>
      </c>
      <c r="D1435" s="6"/>
      <c r="E1435" s="6"/>
      <c r="F1435" s="6"/>
      <c r="G1435" s="2"/>
      <c r="H1435" s="3"/>
      <c r="I1435" s="3"/>
      <c r="J1435" s="3"/>
      <c r="K1435" s="3"/>
      <c r="L1435" s="3"/>
      <c r="M1435" s="3"/>
      <c r="N1435" s="3"/>
      <c r="O1435" s="3"/>
      <c r="P1435" s="3"/>
      <c r="Q1435" s="3"/>
      <c r="R1435" s="3"/>
      <c r="S1435" s="3"/>
      <c r="T1435" s="3"/>
      <c r="U1435" s="3"/>
      <c r="V1435" s="3"/>
      <c r="W1435" s="3"/>
      <c r="X1435" s="3"/>
      <c r="Y1435" s="3"/>
      <c r="Z1435" s="3"/>
    </row>
    <row r="1436" spans="1:26" ht="15.6" x14ac:dyDescent="0.3">
      <c r="A1436" s="18" t="s">
        <v>3</v>
      </c>
      <c r="B1436" s="25" t="s">
        <v>1440</v>
      </c>
      <c r="C1436" s="2" t="str">
        <f ca="1">IFERROR(__xludf.DUMMYFUNCTION("GOOGLETRANSLATE(B1436, ""bn"", ""en"")"),"Such words were never heard to be uttered on any Muslim festival. And the matter of worship is completely dependent on religious beliefs. Which is done by the people of respective religions based on their own religious beliefs and principles.")</f>
        <v>Such words were never heard to be uttered on any Muslim festival. And the matter of worship is completely dependent on religious beliefs. Which is done by the people of respective religions based on their own religious beliefs and principles.</v>
      </c>
      <c r="D1436" s="6"/>
      <c r="E1436" s="2"/>
      <c r="F1436" s="2"/>
      <c r="G1436" s="2"/>
      <c r="H1436" s="5"/>
      <c r="I1436" s="5"/>
      <c r="J1436" s="5"/>
      <c r="K1436" s="5"/>
      <c r="L1436" s="5"/>
      <c r="M1436" s="5"/>
      <c r="N1436" s="5"/>
      <c r="O1436" s="5"/>
      <c r="P1436" s="5"/>
      <c r="Q1436" s="5"/>
      <c r="R1436" s="5"/>
      <c r="S1436" s="5"/>
      <c r="T1436" s="5"/>
      <c r="U1436" s="5"/>
      <c r="V1436" s="5"/>
      <c r="W1436" s="5"/>
      <c r="X1436" s="5"/>
      <c r="Y1436" s="5"/>
      <c r="Z1436" s="5"/>
    </row>
    <row r="1437" spans="1:26" ht="15.6" x14ac:dyDescent="0.3">
      <c r="A1437" s="18" t="s">
        <v>3</v>
      </c>
      <c r="B1437" s="25" t="s">
        <v>1441</v>
      </c>
      <c r="C1437" s="2" t="str">
        <f ca="1">IFERROR(__xludf.DUMMYFUNCTION("GOOGLETRANSLATE(B1437, ""bn"", ""en"")"),"I believe in Jesus as the Son of God and read the Bible daily. My life has completely changed and now I have happiness and peace in my life. Thank you ""Jesus"", for filling my life with joy.")</f>
        <v>I believe in Jesus as the Son of God and read the Bible daily. My life has completely changed and now I have happiness and peace in my life. Thank you "Jesus", for filling my life with joy.</v>
      </c>
      <c r="D1437" s="5"/>
      <c r="E1437" s="5"/>
      <c r="F1437" s="5"/>
      <c r="G1437" s="5"/>
      <c r="H1437" s="5"/>
      <c r="I1437" s="5"/>
      <c r="J1437" s="5"/>
      <c r="K1437" s="5"/>
      <c r="L1437" s="5"/>
      <c r="M1437" s="5"/>
      <c r="N1437" s="5"/>
      <c r="O1437" s="5"/>
      <c r="P1437" s="5"/>
      <c r="Q1437" s="5"/>
      <c r="R1437" s="5"/>
      <c r="S1437" s="5"/>
      <c r="T1437" s="5"/>
      <c r="U1437" s="5"/>
      <c r="V1437" s="5"/>
      <c r="W1437" s="5"/>
      <c r="X1437" s="5"/>
      <c r="Y1437" s="5"/>
      <c r="Z1437" s="5"/>
    </row>
    <row r="1438" spans="1:26" ht="15.6" x14ac:dyDescent="0.3">
      <c r="A1438" s="18" t="s">
        <v>8</v>
      </c>
      <c r="B1438" s="25" t="s">
        <v>1442</v>
      </c>
      <c r="C1438" s="2" t="str">
        <f ca="1">IFERROR(__xludf.DUMMYFUNCTION("GOOGLETRANSLATE(B1438, ""bn"", ""en"")"),"On Sunday afternoon, the four teenagers broke the arms and legs of an idol of Haldia Sarvajanin Shitala Mandir in a secluded place while roaming in the neighboring Haldia village.")</f>
        <v>On Sunday afternoon, the four teenagers broke the arms and legs of an idol of Haldia Sarvajanin Shitala Mandir in a secluded place while roaming in the neighboring Haldia village.</v>
      </c>
      <c r="D1438" s="5"/>
      <c r="E1438" s="5"/>
      <c r="F1438" s="5"/>
      <c r="G1438" s="5"/>
      <c r="H1438" s="5"/>
      <c r="I1438" s="5"/>
      <c r="J1438" s="5"/>
      <c r="K1438" s="5"/>
      <c r="L1438" s="5"/>
      <c r="M1438" s="5"/>
      <c r="N1438" s="5"/>
      <c r="O1438" s="5"/>
      <c r="P1438" s="5"/>
      <c r="Q1438" s="5"/>
      <c r="R1438" s="5"/>
      <c r="S1438" s="5"/>
      <c r="T1438" s="5"/>
      <c r="U1438" s="5"/>
      <c r="V1438" s="5"/>
      <c r="W1438" s="5"/>
      <c r="X1438" s="5"/>
      <c r="Y1438" s="5"/>
      <c r="Z1438" s="5"/>
    </row>
    <row r="1439" spans="1:26" ht="15.6" x14ac:dyDescent="0.3">
      <c r="A1439" s="18" t="s">
        <v>3</v>
      </c>
      <c r="B1439" s="25" t="s">
        <v>1443</v>
      </c>
      <c r="C1439" s="2" t="str">
        <f ca="1">IFERROR(__xludf.DUMMYFUNCTION("GOOGLETRANSLATE(B1439, ""bn"", ""en"")"),"Navakumar Bhattacharya, head of the West Bengal Vedic Academy, was explaining that the Vaishnava sect is one of the five sects of Hinduism. Other sects are Shaiva, Shakta, Saura, and Ganapatya.")</f>
        <v>Navakumar Bhattacharya, head of the West Bengal Vedic Academy, was explaining that the Vaishnava sect is one of the five sects of Hinduism. Other sects are Shaiva, Shakta, Saura, and Ganapatya.</v>
      </c>
      <c r="D1439" s="2"/>
      <c r="E1439" s="2"/>
      <c r="F1439" s="2"/>
      <c r="G1439" s="2"/>
      <c r="H1439" s="3"/>
      <c r="I1439" s="3"/>
      <c r="J1439" s="3"/>
      <c r="K1439" s="3"/>
      <c r="L1439" s="3"/>
      <c r="M1439" s="3"/>
      <c r="N1439" s="3"/>
      <c r="O1439" s="3"/>
      <c r="P1439" s="3"/>
      <c r="Q1439" s="3"/>
      <c r="R1439" s="3"/>
      <c r="S1439" s="3"/>
      <c r="T1439" s="3"/>
      <c r="U1439" s="3"/>
      <c r="V1439" s="3"/>
      <c r="W1439" s="3"/>
      <c r="X1439" s="3"/>
      <c r="Y1439" s="3"/>
      <c r="Z1439" s="3"/>
    </row>
    <row r="1440" spans="1:26" ht="15.6" x14ac:dyDescent="0.3">
      <c r="A1440" s="18" t="s">
        <v>8</v>
      </c>
      <c r="B1440" s="25" t="s">
        <v>1444</v>
      </c>
      <c r="C1440" s="2" t="str">
        <f ca="1">IFERROR(__xludf.DUMMYFUNCTION("GOOGLETRANSLATE(B1440, ""bn"", ""en"")"),"The same trend can be seen in Ramu in Cox's Bazar or Nasirnagar in Brahmanbaria. First on Facebook and then word of mouth the incident spread. Which resulted in widespread hatred of minorities and attacks and looting along the way.")</f>
        <v>The same trend can be seen in Ramu in Cox's Bazar or Nasirnagar in Brahmanbaria. First on Facebook and then word of mouth the incident spread. Which resulted in widespread hatred of minorities and attacks and looting along the way.</v>
      </c>
      <c r="D1440" s="2"/>
      <c r="E1440" s="2"/>
      <c r="F1440" s="2"/>
      <c r="G1440" s="2"/>
      <c r="H1440" s="3"/>
      <c r="I1440" s="3"/>
      <c r="J1440" s="3"/>
      <c r="K1440" s="3"/>
      <c r="L1440" s="3"/>
      <c r="M1440" s="3"/>
      <c r="N1440" s="3"/>
      <c r="O1440" s="3"/>
      <c r="P1440" s="3"/>
      <c r="Q1440" s="3"/>
      <c r="R1440" s="3"/>
      <c r="S1440" s="3"/>
      <c r="T1440" s="3"/>
      <c r="U1440" s="3"/>
      <c r="V1440" s="3"/>
      <c r="W1440" s="3"/>
      <c r="X1440" s="3"/>
      <c r="Y1440" s="3"/>
      <c r="Z1440" s="3"/>
    </row>
    <row r="1441" spans="1:26" ht="15.6" x14ac:dyDescent="0.3">
      <c r="A1441" s="18" t="s">
        <v>5</v>
      </c>
      <c r="B1441" s="25" t="s">
        <v>1445</v>
      </c>
      <c r="C1441" s="2" t="str">
        <f ca="1">IFERROR(__xludf.DUMMYFUNCTION("GOOGLETRANSLATE(B1441, ""bn"", ""en"")"),"A person was burnt to death in Lalmonirhat on the charge of blasphemy. When attention was drawn to this matter, Hasan Mahmud said, ""The government has taken strict action in this regard.""")</f>
        <v>A person was burnt to death in Lalmonirhat on the charge of blasphemy. When attention was drawn to this matter, Hasan Mahmud said, "The government has taken strict action in this regard."</v>
      </c>
      <c r="D1441" s="2"/>
      <c r="E1441" s="2"/>
      <c r="F1441" s="2"/>
      <c r="G1441" s="2"/>
      <c r="H1441" s="3"/>
      <c r="I1441" s="3"/>
      <c r="J1441" s="3"/>
      <c r="K1441" s="3"/>
      <c r="L1441" s="3"/>
      <c r="M1441" s="3"/>
      <c r="N1441" s="3"/>
      <c r="O1441" s="3"/>
      <c r="P1441" s="3"/>
      <c r="Q1441" s="3"/>
      <c r="R1441" s="3"/>
      <c r="S1441" s="3"/>
      <c r="T1441" s="3"/>
      <c r="U1441" s="3"/>
      <c r="V1441" s="3"/>
      <c r="W1441" s="3"/>
      <c r="X1441" s="3"/>
      <c r="Y1441" s="3"/>
      <c r="Z1441" s="3"/>
    </row>
    <row r="1442" spans="1:26" ht="15.6" x14ac:dyDescent="0.3">
      <c r="A1442" s="19" t="s">
        <v>3</v>
      </c>
      <c r="B1442" s="26" t="s">
        <v>1446</v>
      </c>
      <c r="C1442" s="2" t="str">
        <f ca="1">IFERROR(__xludf.DUMMYFUNCTION("GOOGLETRANSLATE(B1442, ""bn"", ""en"")"),"Hinduism prescribes the path of right living and spiritual growth.")</f>
        <v>Hinduism prescribes the path of right living and spiritual growth.</v>
      </c>
      <c r="D1442" s="5"/>
      <c r="E1442" s="5"/>
      <c r="F1442" s="5"/>
      <c r="G1442" s="5"/>
      <c r="H1442" s="5"/>
      <c r="I1442" s="5"/>
      <c r="J1442" s="5"/>
      <c r="K1442" s="5"/>
      <c r="L1442" s="5"/>
      <c r="M1442" s="5"/>
      <c r="N1442" s="5"/>
      <c r="O1442" s="5"/>
      <c r="P1442" s="5"/>
      <c r="Q1442" s="5"/>
      <c r="R1442" s="5"/>
      <c r="S1442" s="5"/>
      <c r="T1442" s="5"/>
      <c r="U1442" s="5"/>
      <c r="V1442" s="5"/>
      <c r="W1442" s="5"/>
      <c r="X1442" s="5"/>
      <c r="Y1442" s="5"/>
      <c r="Z1442" s="5"/>
    </row>
    <row r="1443" spans="1:26" ht="15.6" x14ac:dyDescent="0.3">
      <c r="A1443" s="18" t="s">
        <v>5</v>
      </c>
      <c r="B1443" s="25" t="s">
        <v>1447</v>
      </c>
      <c r="C1443" s="2" t="str">
        <f ca="1">IFERROR(__xludf.DUMMYFUNCTION("GOOGLETRANSLATE(B1443, ""bn"", ""en"")"),"Ethnic and religious differences in the Oromo-Amhara led to violent clashes between the two communities, in which hundreds of people were killed.")</f>
        <v>Ethnic and religious differences in the Oromo-Amhara led to violent clashes between the two communities, in which hundreds of people were killed.</v>
      </c>
      <c r="D1443" s="7"/>
      <c r="E1443" s="7"/>
      <c r="F1443" s="5"/>
      <c r="G1443" s="5"/>
      <c r="H1443" s="5"/>
      <c r="I1443" s="5"/>
      <c r="J1443" s="5"/>
      <c r="K1443" s="5"/>
      <c r="L1443" s="5"/>
      <c r="M1443" s="5"/>
      <c r="N1443" s="5"/>
      <c r="O1443" s="5"/>
      <c r="P1443" s="5"/>
      <c r="Q1443" s="5"/>
      <c r="R1443" s="5"/>
      <c r="S1443" s="5"/>
      <c r="T1443" s="5"/>
      <c r="U1443" s="5"/>
      <c r="V1443" s="5"/>
      <c r="W1443" s="5"/>
      <c r="X1443" s="5"/>
      <c r="Y1443" s="5"/>
      <c r="Z1443" s="5"/>
    </row>
    <row r="1444" spans="1:26" ht="15.6" x14ac:dyDescent="0.3">
      <c r="A1444" s="19" t="s">
        <v>8</v>
      </c>
      <c r="B1444" s="26" t="s">
        <v>1448</v>
      </c>
      <c r="C1444" s="2" t="str">
        <f ca="1">IFERROR(__xludf.DUMMYFUNCTION("GOOGLETRANSLATE(B1444, ""bn"", ""en"")"),"As many incidents of temple attacks and idol vandalism have happened in the country, they have happened to sideline BNP's movement and to file cases in the name of BNP's leaders and workers.")</f>
        <v>As many incidents of temple attacks and idol vandalism have happened in the country, they have happened to sideline BNP's movement and to file cases in the name of BNP's leaders and workers.</v>
      </c>
      <c r="D1444" s="5"/>
      <c r="E1444" s="5"/>
      <c r="F1444" s="5"/>
      <c r="G1444" s="5"/>
      <c r="H1444" s="5"/>
      <c r="I1444" s="5"/>
      <c r="J1444" s="5"/>
      <c r="K1444" s="5"/>
      <c r="L1444" s="5"/>
      <c r="M1444" s="5"/>
      <c r="N1444" s="5"/>
      <c r="O1444" s="5"/>
      <c r="P1444" s="5"/>
      <c r="Q1444" s="5"/>
      <c r="R1444" s="5"/>
      <c r="S1444" s="5"/>
      <c r="T1444" s="5"/>
      <c r="U1444" s="5"/>
      <c r="V1444" s="5"/>
      <c r="W1444" s="5"/>
      <c r="X1444" s="5"/>
      <c r="Y1444" s="5"/>
      <c r="Z1444" s="5"/>
    </row>
    <row r="1445" spans="1:26" ht="15.6" x14ac:dyDescent="0.3">
      <c r="A1445" s="18" t="s">
        <v>8</v>
      </c>
      <c r="B1445" s="24" t="s">
        <v>1449</v>
      </c>
      <c r="C1445" s="2" t="str">
        <f ca="1">IFERROR(__xludf.DUMMYFUNCTION("GOOGLETRANSLATE(B1445, ""bn"", ""en"")"),"Religious symbols were vandalized inside a church in Sylhet and hateful graffiti was written on the walls, creating a sense of terror among the Christian community.")</f>
        <v>Religious symbols were vandalized inside a church in Sylhet and hateful graffiti was written on the walls, creating a sense of terror among the Christian community.</v>
      </c>
      <c r="D1445" s="5"/>
      <c r="E1445" s="5"/>
      <c r="F1445" s="5"/>
      <c r="G1445" s="5"/>
      <c r="H1445" s="5"/>
      <c r="I1445" s="5"/>
      <c r="J1445" s="5"/>
      <c r="K1445" s="5"/>
      <c r="L1445" s="5"/>
      <c r="M1445" s="5"/>
      <c r="N1445" s="5"/>
      <c r="O1445" s="5"/>
      <c r="P1445" s="5"/>
      <c r="Q1445" s="5"/>
      <c r="R1445" s="5"/>
      <c r="S1445" s="5"/>
      <c r="T1445" s="5"/>
      <c r="U1445" s="5"/>
      <c r="V1445" s="5"/>
      <c r="W1445" s="5"/>
      <c r="X1445" s="5"/>
      <c r="Y1445" s="5"/>
      <c r="Z1445" s="5"/>
    </row>
    <row r="1446" spans="1:26" ht="15.6" x14ac:dyDescent="0.3">
      <c r="A1446" s="18" t="s">
        <v>8</v>
      </c>
      <c r="B1446" s="25" t="s">
        <v>1450</v>
      </c>
      <c r="C1446" s="2" t="str">
        <f ca="1">IFERROR(__xludf.DUMMYFUNCTION("GOOGLETRANSLATE(B1446, ""bn"", ""en"")"),"Thousands of Hindu men and women were tortured and forced to take refuge in cotton mills. Extremists of religious hatred took pleasure in brutally torturing Hindu women.")</f>
        <v>Thousands of Hindu men and women were tortured and forced to take refuge in cotton mills. Extremists of religious hatred took pleasure in brutally torturing Hindu women.</v>
      </c>
      <c r="D1446" s="5"/>
      <c r="E1446" s="5"/>
      <c r="F1446" s="5"/>
      <c r="G1446" s="5"/>
      <c r="H1446" s="5"/>
      <c r="I1446" s="5"/>
      <c r="J1446" s="5"/>
      <c r="K1446" s="5"/>
      <c r="L1446" s="5"/>
      <c r="M1446" s="5"/>
      <c r="N1446" s="5"/>
      <c r="O1446" s="5"/>
      <c r="P1446" s="5"/>
      <c r="Q1446" s="5"/>
      <c r="R1446" s="5"/>
      <c r="S1446" s="5"/>
      <c r="T1446" s="5"/>
      <c r="U1446" s="5"/>
      <c r="V1446" s="5"/>
      <c r="W1446" s="5"/>
      <c r="X1446" s="5"/>
      <c r="Y1446" s="5"/>
      <c r="Z1446" s="5"/>
    </row>
    <row r="1447" spans="1:26" ht="15.6" x14ac:dyDescent="0.3">
      <c r="A1447" s="19" t="s">
        <v>23</v>
      </c>
      <c r="B1447" s="26" t="s">
        <v>1451</v>
      </c>
      <c r="C1447" s="2" t="str">
        <f ca="1">IFERROR(__xludf.DUMMYFUNCTION("GOOGLETRANSLATE(B1447, ""bn"", ""en"")"),"In the second Ramadan, the conspiracy of the unseen forces was realized. A little Quran recitation ceremony has also come under criticism, with iftar gatherings on campus being called jamaat-shibir and militant.")</f>
        <v>In the second Ramadan, the conspiracy of the unseen forces was realized. A little Quran recitation ceremony has also come under criticism, with iftar gatherings on campus being called jamaat-shibir and militant.</v>
      </c>
      <c r="D1447" s="7"/>
      <c r="E1447" s="7"/>
      <c r="F1447" s="7"/>
      <c r="G1447" s="7"/>
      <c r="H1447" s="7"/>
      <c r="I1447" s="7"/>
      <c r="J1447" s="7"/>
      <c r="K1447" s="7"/>
      <c r="L1447" s="7"/>
      <c r="M1447" s="7"/>
      <c r="N1447" s="7"/>
      <c r="O1447" s="7"/>
      <c r="P1447" s="5"/>
      <c r="Q1447" s="5"/>
      <c r="R1447" s="5"/>
      <c r="S1447" s="5"/>
      <c r="T1447" s="5"/>
      <c r="U1447" s="5"/>
      <c r="V1447" s="5"/>
      <c r="W1447" s="5"/>
      <c r="X1447" s="5"/>
      <c r="Y1447" s="5"/>
      <c r="Z1447" s="5"/>
    </row>
    <row r="1448" spans="1:26" ht="15.6" x14ac:dyDescent="0.3">
      <c r="A1448" s="18" t="s">
        <v>5</v>
      </c>
      <c r="B1448" s="25" t="s">
        <v>1452</v>
      </c>
      <c r="C1448" s="2" t="str">
        <f ca="1">IFERROR(__xludf.DUMMYFUNCTION("GOOGLETRANSLATE(B1448, ""bn"", ""en"")"),"Mahakumbh Stampede: 30 people died after being trampled in Mahakumbh, said DIG, how many people were identified?")</f>
        <v>Mahakumbh Stampede: 30 people died after being trampled in Mahakumbh, said DIG, how many people were identified?</v>
      </c>
      <c r="D1448" s="5"/>
      <c r="E1448" s="5"/>
      <c r="F1448" s="5"/>
      <c r="G1448" s="5"/>
      <c r="H1448" s="5"/>
      <c r="I1448" s="5"/>
      <c r="J1448" s="5"/>
      <c r="K1448" s="5"/>
      <c r="L1448" s="5"/>
      <c r="M1448" s="5"/>
      <c r="N1448" s="5"/>
      <c r="O1448" s="5"/>
      <c r="P1448" s="5"/>
      <c r="Q1448" s="5"/>
      <c r="R1448" s="5"/>
      <c r="S1448" s="5"/>
      <c r="T1448" s="5"/>
      <c r="U1448" s="5"/>
      <c r="V1448" s="5"/>
      <c r="W1448" s="5"/>
      <c r="X1448" s="5"/>
      <c r="Y1448" s="5"/>
      <c r="Z1448" s="5"/>
    </row>
    <row r="1449" spans="1:26" ht="15.6" x14ac:dyDescent="0.3">
      <c r="A1449" s="18" t="s">
        <v>3</v>
      </c>
      <c r="B1449" s="25" t="s">
        <v>1453</v>
      </c>
      <c r="C1449" s="2" t="str">
        <f ca="1">IFERROR(__xludf.DUMMYFUNCTION("GOOGLETRANSLATE(B1449, ""bn"", ""en"")"),"The Qur'an mentions the first Qibla for Muslims, and Muslims remember it with reverence as a sign from Allah.")</f>
        <v>The Qur'an mentions the first Qibla for Muslims, and Muslims remember it with reverence as a sign from Allah.</v>
      </c>
      <c r="D1449" s="5"/>
      <c r="E1449" s="5"/>
      <c r="F1449" s="5"/>
      <c r="G1449" s="5"/>
      <c r="H1449" s="5"/>
      <c r="I1449" s="5"/>
      <c r="J1449" s="5"/>
      <c r="K1449" s="5"/>
      <c r="L1449" s="5"/>
      <c r="M1449" s="5"/>
      <c r="N1449" s="5"/>
      <c r="O1449" s="5"/>
      <c r="P1449" s="5"/>
      <c r="Q1449" s="5"/>
      <c r="R1449" s="5"/>
      <c r="S1449" s="5"/>
      <c r="T1449" s="5"/>
      <c r="U1449" s="5"/>
      <c r="V1449" s="5"/>
      <c r="W1449" s="5"/>
      <c r="X1449" s="5"/>
      <c r="Y1449" s="5"/>
      <c r="Z1449" s="5"/>
    </row>
    <row r="1450" spans="1:26" ht="15.6" x14ac:dyDescent="0.3">
      <c r="A1450" s="18" t="s">
        <v>5</v>
      </c>
      <c r="B1450" s="25" t="s">
        <v>1454</v>
      </c>
      <c r="C1450" s="2" t="str">
        <f ca="1">IFERROR(__xludf.DUMMYFUNCTION("GOOGLETRANSLATE(B1450, ""bn"", ""en"")"),"Around five o'clock in the morning, 20,000 armed mad Muslim workers of Adamjee Jute Mills attacked No. 2 Dhakeswari Cotton Mill and carried out non-stop killing, looting, kidnapping and raping of Hindus there.")</f>
        <v>Around five o'clock in the morning, 20,000 armed mad Muslim workers of Adamjee Jute Mills attacked No. 2 Dhakeswari Cotton Mill and carried out non-stop killing, looting, kidnapping and raping of Hindus there.</v>
      </c>
      <c r="D1450" s="5"/>
      <c r="E1450" s="5"/>
      <c r="F1450" s="5"/>
      <c r="G1450" s="5"/>
      <c r="H1450" s="5"/>
      <c r="I1450" s="5"/>
      <c r="J1450" s="5"/>
      <c r="K1450" s="5"/>
      <c r="L1450" s="5"/>
      <c r="M1450" s="5"/>
      <c r="N1450" s="5"/>
      <c r="O1450" s="5"/>
      <c r="P1450" s="5"/>
      <c r="Q1450" s="5"/>
      <c r="R1450" s="5"/>
      <c r="S1450" s="5"/>
      <c r="T1450" s="5"/>
      <c r="U1450" s="5"/>
      <c r="V1450" s="5"/>
      <c r="W1450" s="5"/>
      <c r="X1450" s="5"/>
      <c r="Y1450" s="5"/>
      <c r="Z1450" s="5"/>
    </row>
    <row r="1451" spans="1:26" ht="15.6" x14ac:dyDescent="0.3">
      <c r="A1451" s="19" t="s">
        <v>5</v>
      </c>
      <c r="B1451" s="26" t="s">
        <v>1455</v>
      </c>
      <c r="C1451" s="2" t="str">
        <f ca="1">IFERROR(__xludf.DUMMYFUNCTION("GOOGLETRANSLATE(B1451, ""bn"", ""en"")"),"It is not a sin to cut the neck of those who speak ill of Islam.")</f>
        <v>It is not a sin to cut the neck of those who speak ill of Islam.</v>
      </c>
      <c r="D1451" s="5"/>
      <c r="E1451" s="5"/>
      <c r="F1451" s="5"/>
      <c r="G1451" s="5"/>
      <c r="H1451" s="5"/>
      <c r="I1451" s="5"/>
      <c r="J1451" s="5"/>
      <c r="K1451" s="5"/>
      <c r="L1451" s="5"/>
      <c r="M1451" s="5"/>
      <c r="N1451" s="5"/>
      <c r="O1451" s="5"/>
      <c r="P1451" s="5"/>
      <c r="Q1451" s="5"/>
      <c r="R1451" s="5"/>
      <c r="S1451" s="5"/>
      <c r="T1451" s="5"/>
      <c r="U1451" s="5"/>
      <c r="V1451" s="5"/>
      <c r="W1451" s="5"/>
      <c r="X1451" s="5"/>
      <c r="Y1451" s="5"/>
      <c r="Z1451" s="5"/>
    </row>
    <row r="1452" spans="1:26" ht="15.6" x14ac:dyDescent="0.3">
      <c r="A1452" s="19" t="s">
        <v>5</v>
      </c>
      <c r="B1452" s="26" t="s">
        <v>1456</v>
      </c>
      <c r="C1452" s="2" t="str">
        <f ca="1">IFERROR(__xludf.DUMMYFUNCTION("GOOGLETRANSLATE(B1452, ""bn"", ""en"")"),"The massacres in Noakhali and Tippera districts in October 1946 are considered a stigmatized aftermath of the Great Calcutta Killings. Some claim that this almost destroyed the Hindu population in Noakhali.")</f>
        <v>The massacres in Noakhali and Tippera districts in October 1946 are considered a stigmatized aftermath of the Great Calcutta Killings. Some claim that this almost destroyed the Hindu population in Noakhali.</v>
      </c>
      <c r="D1452" s="5"/>
      <c r="E1452" s="5"/>
      <c r="F1452" s="5"/>
      <c r="G1452" s="5"/>
      <c r="H1452" s="5"/>
      <c r="I1452" s="5"/>
      <c r="J1452" s="5"/>
      <c r="K1452" s="5"/>
      <c r="L1452" s="5"/>
      <c r="M1452" s="5"/>
      <c r="N1452" s="5"/>
      <c r="O1452" s="5"/>
      <c r="P1452" s="5"/>
      <c r="Q1452" s="5"/>
      <c r="R1452" s="5"/>
      <c r="S1452" s="5"/>
      <c r="T1452" s="5"/>
      <c r="U1452" s="5"/>
      <c r="V1452" s="5"/>
      <c r="W1452" s="5"/>
      <c r="X1452" s="5"/>
      <c r="Y1452" s="5"/>
      <c r="Z1452" s="5"/>
    </row>
    <row r="1453" spans="1:26" ht="15.6" x14ac:dyDescent="0.3">
      <c r="A1453" s="18" t="s">
        <v>3</v>
      </c>
      <c r="B1453" s="25" t="s">
        <v>1457</v>
      </c>
      <c r="C1453" s="2" t="str">
        <f ca="1">IFERROR(__xludf.DUMMYFUNCTION("GOOGLETRANSLATE(B1453, ""bn"", ""en"")"),"Muslims should protest together peacefully, so that the unity of the Ummah is maintained and the honor of Islam is preserved for the sake of Allah.")</f>
        <v>Muslims should protest together peacefully, so that the unity of the Ummah is maintained and the honor of Islam is preserved for the sake of Allah.</v>
      </c>
      <c r="D1453" s="5"/>
      <c r="E1453" s="5"/>
      <c r="F1453" s="5"/>
      <c r="G1453" s="5"/>
      <c r="H1453" s="5"/>
      <c r="I1453" s="5"/>
      <c r="J1453" s="5"/>
      <c r="K1453" s="5"/>
      <c r="L1453" s="5"/>
      <c r="M1453" s="5"/>
      <c r="N1453" s="5"/>
      <c r="O1453" s="5"/>
      <c r="P1453" s="5"/>
      <c r="Q1453" s="5"/>
      <c r="R1453" s="5"/>
      <c r="S1453" s="5"/>
      <c r="T1453" s="5"/>
      <c r="U1453" s="5"/>
      <c r="V1453" s="5"/>
      <c r="W1453" s="5"/>
      <c r="X1453" s="5"/>
      <c r="Y1453" s="5"/>
      <c r="Z1453" s="5"/>
    </row>
    <row r="1454" spans="1:26" ht="15.6" x14ac:dyDescent="0.3">
      <c r="A1454" s="18" t="s">
        <v>8</v>
      </c>
      <c r="B1454" s="24" t="s">
        <v>1458</v>
      </c>
      <c r="C1454" s="2" t="str">
        <f ca="1">IFERROR(__xludf.DUMMYFUNCTION("GOOGLETRANSLATE(B1454, ""bn"", ""en"")"),"Entering the temple at Kaliya in Narail, the ancient idols were hit with iron rods and their heads and hands were broken.")</f>
        <v>Entering the temple at Kaliya in Narail, the ancient idols were hit with iron rods and their heads and hands were broken.</v>
      </c>
      <c r="D1454" s="5"/>
      <c r="E1454" s="5"/>
      <c r="F1454" s="5"/>
      <c r="G1454" s="5"/>
      <c r="H1454" s="5"/>
      <c r="I1454" s="5"/>
      <c r="J1454" s="5"/>
      <c r="K1454" s="5"/>
      <c r="L1454" s="5"/>
      <c r="M1454" s="5"/>
      <c r="N1454" s="5"/>
      <c r="O1454" s="5"/>
      <c r="P1454" s="5"/>
      <c r="Q1454" s="5"/>
      <c r="R1454" s="5"/>
      <c r="S1454" s="5"/>
      <c r="T1454" s="5"/>
      <c r="U1454" s="5"/>
      <c r="V1454" s="5"/>
      <c r="W1454" s="5"/>
      <c r="X1454" s="5"/>
      <c r="Y1454" s="5"/>
      <c r="Z1454" s="5"/>
    </row>
    <row r="1455" spans="1:26" ht="15.6" x14ac:dyDescent="0.3">
      <c r="A1455" s="18" t="s">
        <v>5</v>
      </c>
      <c r="B1455" s="24" t="s">
        <v>1459</v>
      </c>
      <c r="C1455" s="2" t="str">
        <f ca="1">IFERROR(__xludf.DUMMYFUNCTION("GOOGLETRANSLATE(B1455, ""bn"", ""en"")"),"44 people were killed in a clash between religious groups in Chapainawabganj. The police failed to control the situation but the government ordered everyone to remain calm. Many minority families leave the village for safety.")</f>
        <v>44 people were killed in a clash between religious groups in Chapainawabganj. The police failed to control the situation but the government ordered everyone to remain calm. Many minority families leave the village for safety.</v>
      </c>
      <c r="D1455" s="5"/>
      <c r="E1455" s="5"/>
      <c r="F1455" s="5"/>
      <c r="G1455" s="5"/>
      <c r="H1455" s="5"/>
      <c r="I1455" s="5"/>
      <c r="J1455" s="5"/>
      <c r="K1455" s="5"/>
      <c r="L1455" s="5"/>
      <c r="M1455" s="5"/>
      <c r="N1455" s="5"/>
      <c r="O1455" s="5"/>
      <c r="P1455" s="5"/>
      <c r="Q1455" s="5"/>
      <c r="R1455" s="5"/>
      <c r="S1455" s="5"/>
      <c r="T1455" s="5"/>
      <c r="U1455" s="5"/>
      <c r="V1455" s="5"/>
      <c r="W1455" s="5"/>
      <c r="X1455" s="5"/>
      <c r="Y1455" s="5"/>
      <c r="Z1455" s="5"/>
    </row>
    <row r="1456" spans="1:26" ht="15.6" x14ac:dyDescent="0.3">
      <c r="A1456" s="19" t="s">
        <v>5</v>
      </c>
      <c r="B1456" s="26" t="s">
        <v>1460</v>
      </c>
      <c r="C1456" s="2" t="str">
        <f ca="1">IFERROR(__xludf.DUMMYFUNCTION("GOOGLETRANSLATE(B1456, ""bn"", ""en"")"),"The Marichjhapi Incident was the 1979 eviction of refugees from post-partition Bengal in the protected forest area of ​​Marichjhapi Island (Sunderbans, West Bengal). These refugees came here from Dandakaranya camps located in Odisha, Madhya Pradesh and Ch"&amp;"hattisgarh.[1][2] Settlers clashed with the police during the Sati eviction, imposed an economic blockade and resulted in many casualties.")</f>
        <v>The Marichjhapi Incident was the 1979 eviction of refugees from post-partition Bengal in the protected forest area of ​​Marichjhapi Island (Sunderbans, West Bengal). These refugees came here from Dandakaranya camps located in Odisha, Madhya Pradesh and Chhattisgarh.[1][2] Settlers clashed with the police during the Sati eviction, imposed an economic blockade and resulted in many casualties.</v>
      </c>
      <c r="D1456" s="7"/>
      <c r="E1456" s="7"/>
      <c r="F1456" s="7"/>
      <c r="G1456" s="7"/>
      <c r="H1456" s="7"/>
      <c r="I1456" s="7"/>
      <c r="J1456" s="7"/>
      <c r="K1456" s="7"/>
      <c r="L1456" s="7"/>
      <c r="M1456" s="7"/>
      <c r="N1456" s="7"/>
      <c r="O1456" s="7"/>
      <c r="P1456" s="7"/>
      <c r="Q1456" s="7"/>
      <c r="R1456" s="7"/>
      <c r="S1456" s="7"/>
      <c r="T1456" s="7"/>
      <c r="U1456" s="7"/>
      <c r="V1456" s="5"/>
      <c r="W1456" s="5"/>
      <c r="X1456" s="5"/>
      <c r="Y1456" s="5"/>
      <c r="Z1456" s="5"/>
    </row>
    <row r="1457" spans="1:26" ht="15.6" x14ac:dyDescent="0.3">
      <c r="A1457" s="19" t="s">
        <v>8</v>
      </c>
      <c r="B1457" s="26" t="s">
        <v>1461</v>
      </c>
      <c r="C1457" s="2" t="str">
        <f ca="1">IFERROR(__xludf.DUMMYFUNCTION("GOOGLETRANSLATE(B1457, ""bn"", ""en"")"),"Shankar Chandra Halder, president of the temple committee, said that the head and left hand of the Karthik idol were found severed in the morning after staying till late night; The police came and made immediate repairs.")</f>
        <v>Shankar Chandra Halder, president of the temple committee, said that the head and left hand of the Karthik idol were found severed in the morning after staying till late night; The police came and made immediate repairs.</v>
      </c>
      <c r="D1457" s="7"/>
      <c r="E1457" s="7"/>
      <c r="F1457" s="7"/>
      <c r="G1457" s="7"/>
      <c r="H1457" s="7"/>
      <c r="I1457" s="7"/>
      <c r="J1457" s="7"/>
      <c r="K1457" s="7"/>
      <c r="L1457" s="7"/>
      <c r="M1457" s="7"/>
      <c r="N1457" s="7"/>
      <c r="O1457" s="7"/>
      <c r="P1457" s="5"/>
      <c r="Q1457" s="5"/>
      <c r="R1457" s="5"/>
      <c r="S1457" s="5"/>
      <c r="T1457" s="5"/>
      <c r="U1457" s="5"/>
      <c r="V1457" s="5"/>
      <c r="W1457" s="5"/>
      <c r="X1457" s="5"/>
      <c r="Y1457" s="5"/>
      <c r="Z1457" s="5"/>
    </row>
    <row r="1458" spans="1:26" ht="15.6" x14ac:dyDescent="0.3">
      <c r="A1458" s="19" t="s">
        <v>5</v>
      </c>
      <c r="B1458" s="26" t="s">
        <v>1462</v>
      </c>
      <c r="C1458" s="2" t="str">
        <f ca="1">IFERROR(__xludf.DUMMYFUNCTION("GOOGLETRANSLATE(B1458, ""bn"", ""en"")"),"The US Embassy mourns the murder of two Christians in Faridpur")</f>
        <v>The US Embassy mourns the murder of two Christians in Faridpur</v>
      </c>
      <c r="D1458" s="5"/>
      <c r="E1458" s="5"/>
      <c r="F1458" s="5"/>
      <c r="G1458" s="5"/>
      <c r="H1458" s="5"/>
      <c r="I1458" s="5"/>
      <c r="J1458" s="5"/>
      <c r="K1458" s="5"/>
      <c r="L1458" s="5"/>
      <c r="M1458" s="5"/>
      <c r="N1458" s="5"/>
      <c r="O1458" s="5"/>
      <c r="P1458" s="5"/>
      <c r="Q1458" s="5"/>
      <c r="R1458" s="5"/>
      <c r="S1458" s="5"/>
      <c r="T1458" s="5"/>
      <c r="U1458" s="5"/>
      <c r="V1458" s="5"/>
      <c r="W1458" s="5"/>
      <c r="X1458" s="5"/>
      <c r="Y1458" s="5"/>
      <c r="Z1458" s="5"/>
    </row>
    <row r="1459" spans="1:26" ht="15.6" x14ac:dyDescent="0.3">
      <c r="A1459" s="19" t="s">
        <v>5</v>
      </c>
      <c r="B1459" s="26" t="s">
        <v>1463</v>
      </c>
      <c r="C1459" s="2" t="str">
        <f ca="1">IFERROR(__xludf.DUMMYFUNCTION("GOOGLETRANSLATE(B1459, ""bn"", ""en"")"),"People become disgusted with life out of depression. Being impatient, he wishes for his own death. The Prophet (peace and blessings of Allah be upon him) expressly forbade his Ummah to despair of life and wish for death.")</f>
        <v>People become disgusted with life out of depression. Being impatient, he wishes for his own death. The Prophet (peace and blessings of Allah be upon him) expressly forbade his Ummah to despair of life and wish for death.</v>
      </c>
      <c r="D1459" s="5"/>
      <c r="E1459" s="5"/>
      <c r="F1459" s="5"/>
      <c r="G1459" s="5"/>
      <c r="H1459" s="5"/>
      <c r="I1459" s="5"/>
      <c r="J1459" s="5"/>
      <c r="K1459" s="5"/>
      <c r="L1459" s="5"/>
      <c r="M1459" s="5"/>
      <c r="N1459" s="5"/>
      <c r="O1459" s="5"/>
      <c r="P1459" s="5"/>
      <c r="Q1459" s="5"/>
      <c r="R1459" s="5"/>
      <c r="S1459" s="5"/>
      <c r="T1459" s="5"/>
      <c r="U1459" s="5"/>
      <c r="V1459" s="5"/>
      <c r="W1459" s="5"/>
      <c r="X1459" s="5"/>
      <c r="Y1459" s="5"/>
      <c r="Z1459" s="5"/>
    </row>
    <row r="1460" spans="1:26" ht="15.6" x14ac:dyDescent="0.3">
      <c r="A1460" s="18" t="s">
        <v>5</v>
      </c>
      <c r="B1460" s="25" t="s">
        <v>1464</v>
      </c>
      <c r="C1460" s="2" t="str">
        <f ca="1">IFERROR(__xludf.DUMMYFUNCTION("GOOGLETRANSLATE(B1460, ""bn"", ""en"")"),"Killings on charges of blasphemy still occur in Muslim-majority regions, where the death penalty is a common punishment, a brutal counterpoint to religious extremism and human rights.")</f>
        <v>Killings on charges of blasphemy still occur in Muslim-majority regions, where the death penalty is a common punishment, a brutal counterpoint to religious extremism and human rights.</v>
      </c>
      <c r="D1460" s="5"/>
      <c r="E1460" s="5"/>
      <c r="F1460" s="5"/>
      <c r="G1460" s="5"/>
      <c r="H1460" s="5"/>
      <c r="I1460" s="5"/>
      <c r="J1460" s="5"/>
      <c r="K1460" s="5"/>
      <c r="L1460" s="5"/>
      <c r="M1460" s="5"/>
      <c r="N1460" s="5"/>
      <c r="O1460" s="5"/>
      <c r="P1460" s="5"/>
      <c r="Q1460" s="5"/>
      <c r="R1460" s="5"/>
      <c r="S1460" s="5"/>
      <c r="T1460" s="5"/>
      <c r="U1460" s="5"/>
      <c r="V1460" s="5"/>
      <c r="W1460" s="5"/>
      <c r="X1460" s="5"/>
      <c r="Y1460" s="5"/>
      <c r="Z1460" s="5"/>
    </row>
    <row r="1461" spans="1:26" ht="15.6" x14ac:dyDescent="0.3">
      <c r="A1461" s="18" t="s">
        <v>3</v>
      </c>
      <c r="B1461" s="25" t="s">
        <v>1465</v>
      </c>
      <c r="C1461" s="2" t="str">
        <f ca="1">IFERROR(__xludf.DUMMYFUNCTION("GOOGLETRANSLATE(B1461, ""bn"", ""en"")"),"People no longer hesitate to say what they believe in. Be it about politics or religion.")</f>
        <v>People no longer hesitate to say what they believe in. Be it about politics or religion.</v>
      </c>
      <c r="D1461" s="5"/>
      <c r="E1461" s="5"/>
      <c r="F1461" s="5"/>
      <c r="G1461" s="5"/>
      <c r="H1461" s="5"/>
      <c r="I1461" s="5"/>
      <c r="J1461" s="5"/>
      <c r="K1461" s="5"/>
      <c r="L1461" s="5"/>
      <c r="M1461" s="5"/>
      <c r="N1461" s="5"/>
      <c r="O1461" s="5"/>
      <c r="P1461" s="5"/>
      <c r="Q1461" s="5"/>
      <c r="R1461" s="5"/>
      <c r="S1461" s="5"/>
      <c r="T1461" s="5"/>
      <c r="U1461" s="5"/>
      <c r="V1461" s="5"/>
      <c r="W1461" s="5"/>
      <c r="X1461" s="5"/>
      <c r="Y1461" s="5"/>
      <c r="Z1461" s="5"/>
    </row>
    <row r="1462" spans="1:26" ht="15.6" x14ac:dyDescent="0.3">
      <c r="A1462" s="19" t="s">
        <v>3</v>
      </c>
      <c r="B1462" s="26" t="s">
        <v>1466</v>
      </c>
      <c r="C1462" s="2" t="str">
        <f ca="1">IFERROR(__xludf.DUMMYFUNCTION("GOOGLETRANSLATE(B1462, ""bn"", ""en"")"),"If traditional meaning is old, then the religion of the first people on earth will also be old - was he Hindu or Muslim? Question to Hindu brothers.")</f>
        <v>If traditional meaning is old, then the religion of the first people on earth will also be old - was he Hindu or Muslim? Question to Hindu brothers.</v>
      </c>
      <c r="D1462" s="7"/>
      <c r="E1462" s="7"/>
      <c r="F1462" s="7"/>
      <c r="G1462" s="7"/>
      <c r="H1462" s="7"/>
      <c r="I1462" s="5"/>
      <c r="J1462" s="5"/>
      <c r="K1462" s="5"/>
      <c r="L1462" s="5"/>
      <c r="M1462" s="5"/>
      <c r="N1462" s="5"/>
      <c r="O1462" s="5"/>
      <c r="P1462" s="5"/>
      <c r="Q1462" s="5"/>
      <c r="R1462" s="5"/>
      <c r="S1462" s="5"/>
      <c r="T1462" s="5"/>
      <c r="U1462" s="5"/>
      <c r="V1462" s="5"/>
      <c r="W1462" s="5"/>
      <c r="X1462" s="5"/>
      <c r="Y1462" s="5"/>
      <c r="Z1462" s="5"/>
    </row>
    <row r="1463" spans="1:26" ht="15.6" x14ac:dyDescent="0.3">
      <c r="A1463" s="18" t="s">
        <v>3</v>
      </c>
      <c r="B1463" s="25" t="s">
        <v>1467</v>
      </c>
      <c r="C1463" s="2" t="str">
        <f ca="1">IFERROR(__xludf.DUMMYFUNCTION("GOOGLETRANSLATE(B1463, ""bn"", ""en"")"),"The Qur'an calls upon the Jews and the Christians to keep the treasures of the Qur'an in their hearts and to be enlightened by the light of the Qur'an. b")</f>
        <v>The Qur'an calls upon the Jews and the Christians to keep the treasures of the Qur'an in their hearts and to be enlightened by the light of the Qur'an. b</v>
      </c>
      <c r="D1463" s="5"/>
      <c r="E1463" s="5"/>
      <c r="F1463" s="5"/>
      <c r="G1463" s="5"/>
      <c r="H1463" s="5"/>
      <c r="I1463" s="5"/>
      <c r="J1463" s="5"/>
      <c r="K1463" s="5"/>
      <c r="L1463" s="5"/>
      <c r="M1463" s="5"/>
      <c r="N1463" s="5"/>
      <c r="O1463" s="5"/>
      <c r="P1463" s="5"/>
      <c r="Q1463" s="5"/>
      <c r="R1463" s="5"/>
      <c r="S1463" s="5"/>
      <c r="T1463" s="5"/>
      <c r="U1463" s="5"/>
      <c r="V1463" s="5"/>
      <c r="W1463" s="5"/>
      <c r="X1463" s="5"/>
      <c r="Y1463" s="5"/>
      <c r="Z1463" s="5"/>
    </row>
    <row r="1464" spans="1:26" ht="15.6" x14ac:dyDescent="0.3">
      <c r="A1464" s="18" t="s">
        <v>3</v>
      </c>
      <c r="B1464" s="25" t="s">
        <v>1468</v>
      </c>
      <c r="C1464" s="2" t="str">
        <f ca="1">IFERROR(__xludf.DUMMYFUNCTION("GOOGLETRANSLATE(B1464, ""bn"", ""en"")"),"Islam is so beautiful! How many women are just waiting for this Islamic caliphate. How many men and women dream of this Islamic caliphate!")</f>
        <v>Islam is so beautiful! How many women are just waiting for this Islamic caliphate. How many men and women dream of this Islamic caliphate!</v>
      </c>
      <c r="D1464" s="2"/>
      <c r="E1464" s="2"/>
      <c r="F1464" s="2"/>
      <c r="G1464" s="2"/>
      <c r="H1464" s="5"/>
      <c r="I1464" s="5"/>
      <c r="J1464" s="5"/>
      <c r="K1464" s="5"/>
      <c r="L1464" s="5"/>
      <c r="M1464" s="5"/>
      <c r="N1464" s="5"/>
      <c r="O1464" s="5"/>
      <c r="P1464" s="5"/>
      <c r="Q1464" s="5"/>
      <c r="R1464" s="5"/>
      <c r="S1464" s="5"/>
      <c r="T1464" s="5"/>
      <c r="U1464" s="5"/>
      <c r="V1464" s="5"/>
      <c r="W1464" s="5"/>
      <c r="X1464" s="5"/>
      <c r="Y1464" s="5"/>
      <c r="Z1464" s="5"/>
    </row>
    <row r="1465" spans="1:26" ht="15.6" x14ac:dyDescent="0.3">
      <c r="A1465" s="19" t="s">
        <v>8</v>
      </c>
      <c r="B1465" s="26" t="s">
        <v>1469</v>
      </c>
      <c r="C1465" s="2" t="str">
        <f ca="1">IFERROR(__xludf.DUMMYFUNCTION("GOOGLETRANSLATE(B1465, ""bn"", ""en"")"),"Jamaat-BNP activists attacked Hindus in Malayapara, Bangladesh and vandalized 130 houses and set fire to 10 houses. They threatened to attack again before fleeing.")</f>
        <v>Jamaat-BNP activists attacked Hindus in Malayapara, Bangladesh and vandalized 130 houses and set fire to 10 houses. They threatened to attack again before fleeing.</v>
      </c>
      <c r="D1465" s="7"/>
      <c r="E1465" s="7"/>
      <c r="F1465" s="7"/>
      <c r="G1465" s="7"/>
      <c r="H1465" s="7"/>
      <c r="I1465" s="7"/>
      <c r="J1465" s="7"/>
      <c r="K1465" s="7"/>
      <c r="L1465" s="7"/>
      <c r="M1465" s="7"/>
      <c r="N1465" s="5"/>
      <c r="O1465" s="5"/>
      <c r="P1465" s="5"/>
      <c r="Q1465" s="5"/>
      <c r="R1465" s="5"/>
      <c r="S1465" s="5"/>
      <c r="T1465" s="5"/>
      <c r="U1465" s="5"/>
      <c r="V1465" s="5"/>
      <c r="W1465" s="5"/>
      <c r="X1465" s="5"/>
      <c r="Y1465" s="5"/>
      <c r="Z1465" s="5"/>
    </row>
    <row r="1466" spans="1:26" ht="15.6" x14ac:dyDescent="0.3">
      <c r="A1466" s="18" t="s">
        <v>23</v>
      </c>
      <c r="B1466" s="25" t="s">
        <v>1470</v>
      </c>
      <c r="C1466" s="2" t="str">
        <f ca="1">IFERROR(__xludf.DUMMYFUNCTION("GOOGLETRANSLATE(B1466, ""bn"", ""en"")"),"In Lalmonirhat district, threats were made by the opposition, not to vote. Hindus there did not go to vote due to lack of security from the administration.")</f>
        <v>In Lalmonirhat district, threats were made by the opposition, not to vote. Hindus there did not go to vote due to lack of security from the administration.</v>
      </c>
      <c r="D1466" s="2"/>
      <c r="E1466" s="2"/>
      <c r="F1466" s="2"/>
      <c r="G1466" s="2"/>
      <c r="H1466" s="3"/>
      <c r="I1466" s="3"/>
      <c r="J1466" s="3"/>
      <c r="K1466" s="3"/>
      <c r="L1466" s="3"/>
      <c r="M1466" s="3"/>
      <c r="N1466" s="3"/>
      <c r="O1466" s="3"/>
      <c r="P1466" s="3"/>
      <c r="Q1466" s="3"/>
      <c r="R1466" s="3"/>
      <c r="S1466" s="3"/>
      <c r="T1466" s="3"/>
      <c r="U1466" s="3"/>
      <c r="V1466" s="3"/>
      <c r="W1466" s="3"/>
      <c r="X1466" s="3"/>
      <c r="Y1466" s="3"/>
      <c r="Z1466" s="3"/>
    </row>
    <row r="1467" spans="1:26" ht="15.6" x14ac:dyDescent="0.3">
      <c r="A1467" s="19" t="s">
        <v>8</v>
      </c>
      <c r="B1467" s="26" t="s">
        <v>1471</v>
      </c>
      <c r="C1467" s="2" t="str">
        <f ca="1">IFERROR(__xludf.DUMMYFUNCTION("GOOGLETRANSLATE(B1467, ""bn"", ""en"")"),"Hindus faced great persecution under the Portuguese in Goa. Vicar General Miguel Vaz wrote from Goa in 1543 to King John III of Portugal asking for the establishment of an Inquisition in Goa like in Spain.")</f>
        <v>Hindus faced great persecution under the Portuguese in Goa. Vicar General Miguel Vaz wrote from Goa in 1543 to King John III of Portugal asking for the establishment of an Inquisition in Goa like in Spain.</v>
      </c>
      <c r="D1467" s="5"/>
      <c r="E1467" s="5"/>
      <c r="F1467" s="5"/>
      <c r="G1467" s="5"/>
      <c r="H1467" s="5"/>
      <c r="I1467" s="5"/>
      <c r="J1467" s="5"/>
      <c r="K1467" s="5"/>
      <c r="L1467" s="5"/>
      <c r="M1467" s="5"/>
      <c r="N1467" s="5"/>
      <c r="O1467" s="5"/>
      <c r="P1467" s="5"/>
      <c r="Q1467" s="5"/>
      <c r="R1467" s="5"/>
      <c r="S1467" s="5"/>
      <c r="T1467" s="5"/>
      <c r="U1467" s="5"/>
      <c r="V1467" s="5"/>
      <c r="W1467" s="5"/>
      <c r="X1467" s="5"/>
      <c r="Y1467" s="5"/>
      <c r="Z1467" s="5"/>
    </row>
    <row r="1468" spans="1:26" ht="15.6" x14ac:dyDescent="0.3">
      <c r="A1468" s="18" t="s">
        <v>3</v>
      </c>
      <c r="B1468" s="24" t="s">
        <v>1472</v>
      </c>
      <c r="C1468" s="2" t="str">
        <f ca="1">IFERROR(__xludf.DUMMYFUNCTION("GOOGLETRANSLATE(B1468, ""bn"", ""en"")"),"When there is harmony in the society, the practice of religion becomes more beautiful and meaningful.")</f>
        <v>When there is harmony in the society, the practice of religion becomes more beautiful and meaningful.</v>
      </c>
      <c r="D1468" s="5"/>
      <c r="E1468" s="5"/>
      <c r="F1468" s="5"/>
      <c r="G1468" s="5"/>
      <c r="H1468" s="5"/>
      <c r="I1468" s="5"/>
      <c r="J1468" s="5"/>
      <c r="K1468" s="5"/>
      <c r="L1468" s="5"/>
      <c r="M1468" s="5"/>
      <c r="N1468" s="5"/>
      <c r="O1468" s="5"/>
      <c r="P1468" s="5"/>
      <c r="Q1468" s="5"/>
      <c r="R1468" s="5"/>
      <c r="S1468" s="5"/>
      <c r="T1468" s="5"/>
      <c r="U1468" s="5"/>
      <c r="V1468" s="5"/>
      <c r="W1468" s="5"/>
      <c r="X1468" s="5"/>
      <c r="Y1468" s="5"/>
      <c r="Z1468" s="5"/>
    </row>
    <row r="1469" spans="1:26" ht="15.6" x14ac:dyDescent="0.3">
      <c r="A1469" s="18" t="s">
        <v>5</v>
      </c>
      <c r="B1469" s="25" t="s">
        <v>1473</v>
      </c>
      <c r="C1469" s="2" t="str">
        <f ca="1">IFERROR(__xludf.DUMMYFUNCTION("GOOGLETRANSLATE(B1469, ""bn"", ""en"")"),"On February 12, the Muslims found and brutally killed all the Hindu passengers traveling between Akhaura and Bhairabazar on the Comilla-Mymensingh route.")</f>
        <v>On February 12, the Muslims found and brutally killed all the Hindu passengers traveling between Akhaura and Bhairabazar on the Comilla-Mymensingh route.</v>
      </c>
      <c r="D1469" s="5"/>
      <c r="E1469" s="5"/>
      <c r="F1469" s="5"/>
      <c r="G1469" s="5"/>
      <c r="H1469" s="5"/>
      <c r="I1469" s="5"/>
      <c r="J1469" s="5"/>
      <c r="K1469" s="5"/>
      <c r="L1469" s="5"/>
      <c r="M1469" s="5"/>
      <c r="N1469" s="5"/>
      <c r="O1469" s="5"/>
      <c r="P1469" s="5"/>
      <c r="Q1469" s="5"/>
      <c r="R1469" s="5"/>
      <c r="S1469" s="5"/>
      <c r="T1469" s="5"/>
      <c r="U1469" s="5"/>
      <c r="V1469" s="5"/>
      <c r="W1469" s="5"/>
      <c r="X1469" s="5"/>
      <c r="Y1469" s="5"/>
      <c r="Z1469" s="5"/>
    </row>
    <row r="1470" spans="1:26" ht="15.6" x14ac:dyDescent="0.3">
      <c r="A1470" s="18" t="s">
        <v>23</v>
      </c>
      <c r="B1470" s="25" t="s">
        <v>1474</v>
      </c>
      <c r="C1470" s="2" t="str">
        <f ca="1">IFERROR(__xludf.DUMMYFUNCTION("GOOGLETRANSLATE(B1470, ""bn"", ""en"")"),"The vile slurs of anti-Islamic spokesmen against the Holy Prophet (PBUH) are a disgusting example of hatred towards Islam and Muslims.")</f>
        <v>The vile slurs of anti-Islamic spokesmen against the Holy Prophet (PBUH) are a disgusting example of hatred towards Islam and Muslims.</v>
      </c>
      <c r="D1470" s="5"/>
      <c r="E1470" s="5"/>
      <c r="F1470" s="5"/>
      <c r="G1470" s="5"/>
      <c r="H1470" s="5"/>
      <c r="I1470" s="5"/>
      <c r="J1470" s="5"/>
      <c r="K1470" s="5"/>
      <c r="L1470" s="5"/>
      <c r="M1470" s="5"/>
      <c r="N1470" s="5"/>
      <c r="O1470" s="5"/>
      <c r="P1470" s="5"/>
      <c r="Q1470" s="5"/>
      <c r="R1470" s="5"/>
      <c r="S1470" s="5"/>
      <c r="T1470" s="5"/>
      <c r="U1470" s="5"/>
      <c r="V1470" s="5"/>
      <c r="W1470" s="5"/>
      <c r="X1470" s="5"/>
      <c r="Y1470" s="5"/>
      <c r="Z1470" s="5"/>
    </row>
    <row r="1471" spans="1:26" ht="15.6" x14ac:dyDescent="0.3">
      <c r="A1471" s="18" t="s">
        <v>5</v>
      </c>
      <c r="B1471" s="25" t="s">
        <v>1475</v>
      </c>
      <c r="C1471" s="2" t="str">
        <f ca="1">IFERROR(__xludf.DUMMYFUNCTION("GOOGLETRANSLATE(B1471, ""bn"", ""en"")"),"In a press conference in Comilla on October 16, Bengal Chief Minister Hussain Shaheed Sohrawardy admitted the brutal mass murder, rape, and forced conversion of Hindus in Noakhali.")</f>
        <v>In a press conference in Comilla on October 16, Bengal Chief Minister Hussain Shaheed Sohrawardy admitted the brutal mass murder, rape, and forced conversion of Hindus in Noakhali.</v>
      </c>
      <c r="D1471" s="2"/>
      <c r="E1471" s="2"/>
      <c r="F1471" s="4"/>
      <c r="G1471" s="4"/>
      <c r="H1471" s="3"/>
      <c r="I1471" s="3"/>
      <c r="J1471" s="3"/>
      <c r="K1471" s="3"/>
      <c r="L1471" s="3"/>
      <c r="M1471" s="3"/>
      <c r="N1471" s="3"/>
      <c r="O1471" s="3"/>
      <c r="P1471" s="3"/>
      <c r="Q1471" s="3"/>
      <c r="R1471" s="3"/>
      <c r="S1471" s="3"/>
      <c r="T1471" s="3"/>
      <c r="U1471" s="3"/>
      <c r="V1471" s="3"/>
      <c r="W1471" s="3"/>
      <c r="X1471" s="3"/>
      <c r="Y1471" s="3"/>
      <c r="Z1471" s="3"/>
    </row>
    <row r="1472" spans="1:26" ht="15.6" x14ac:dyDescent="0.3">
      <c r="A1472" s="18" t="s">
        <v>23</v>
      </c>
      <c r="B1472" s="25" t="s">
        <v>1476</v>
      </c>
      <c r="C1472" s="2" t="str">
        <f ca="1">IFERROR(__xludf.DUMMYFUNCTION("GOOGLETRANSLATE(B1472, ""bn"", ""en"")"),"Whether the father of this journalist is a Muslim, then why they are trying to make a dead man a Hindu, I do not understand.")</f>
        <v>Whether the father of this journalist is a Muslim, then why they are trying to make a dead man a Hindu, I do not understand.</v>
      </c>
      <c r="D1472" s="2"/>
      <c r="E1472" s="2"/>
      <c r="F1472" s="2"/>
      <c r="G1472" s="2"/>
      <c r="H1472" s="3"/>
      <c r="I1472" s="3"/>
      <c r="J1472" s="3"/>
      <c r="K1472" s="3"/>
      <c r="L1472" s="3"/>
      <c r="M1472" s="3"/>
      <c r="N1472" s="3"/>
      <c r="O1472" s="3"/>
      <c r="P1472" s="3"/>
      <c r="Q1472" s="3"/>
      <c r="R1472" s="3"/>
      <c r="S1472" s="3"/>
      <c r="T1472" s="3"/>
      <c r="U1472" s="3"/>
      <c r="V1472" s="3"/>
      <c r="W1472" s="3"/>
      <c r="X1472" s="3"/>
      <c r="Y1472" s="3"/>
      <c r="Z1472" s="3"/>
    </row>
    <row r="1473" spans="1:26" ht="15.6" x14ac:dyDescent="0.3">
      <c r="A1473" s="18" t="s">
        <v>8</v>
      </c>
      <c r="B1473" s="25" t="s">
        <v>1477</v>
      </c>
      <c r="C1473" s="2" t="str">
        <f ca="1">IFERROR(__xludf.DUMMYFUNCTION("GOOGLETRANSLATE(B1473, ""bn"", ""en"")"),"Meanwhile, the Prime Minister in the regular meeting of the Council of Ministers also directed the Home Minister to take strict peaceful action against the people who attacked various puja mandaps and rioters based on rumors in Comilla.")</f>
        <v>Meanwhile, the Prime Minister in the regular meeting of the Council of Ministers also directed the Home Minister to take strict peaceful action against the people who attacked various puja mandaps and rioters based on rumors in Comilla.</v>
      </c>
      <c r="D1473" s="7"/>
      <c r="E1473" s="7"/>
      <c r="F1473" s="7"/>
      <c r="G1473" s="7"/>
      <c r="H1473" s="7"/>
      <c r="I1473" s="5"/>
      <c r="J1473" s="5"/>
      <c r="K1473" s="5"/>
      <c r="L1473" s="5"/>
      <c r="M1473" s="5"/>
      <c r="N1473" s="5"/>
      <c r="O1473" s="5"/>
      <c r="P1473" s="5"/>
      <c r="Q1473" s="5"/>
      <c r="R1473" s="5"/>
      <c r="S1473" s="5"/>
      <c r="T1473" s="5"/>
      <c r="U1473" s="5"/>
      <c r="V1473" s="5"/>
      <c r="W1473" s="5"/>
      <c r="X1473" s="5"/>
      <c r="Y1473" s="5"/>
      <c r="Z1473" s="5"/>
    </row>
    <row r="1474" spans="1:26" ht="15.6" x14ac:dyDescent="0.3">
      <c r="A1474" s="18" t="s">
        <v>23</v>
      </c>
      <c r="B1474" s="25" t="s">
        <v>1478</v>
      </c>
      <c r="C1474" s="2" t="str">
        <f ca="1">IFERROR(__xludf.DUMMYFUNCTION("GOOGLETRANSLATE(B1474, ""bn"", ""en"")"),"The page with 5 contents from the page named 'Sanatani_Army_Version 3.0' was suppressed due to anti-religious posting. Atheists are not exempt.")</f>
        <v>The page with 5 contents from the page named 'Sanatani_Army_Version 3.0' was suppressed due to anti-religious posting. Atheists are not exempt.</v>
      </c>
      <c r="D1474" s="2"/>
      <c r="E1474" s="2"/>
      <c r="F1474" s="2"/>
      <c r="G1474" s="2"/>
      <c r="H1474" s="3"/>
      <c r="I1474" s="3"/>
      <c r="J1474" s="3"/>
      <c r="K1474" s="3"/>
      <c r="L1474" s="3"/>
      <c r="M1474" s="3"/>
      <c r="N1474" s="3"/>
      <c r="O1474" s="3"/>
      <c r="P1474" s="3"/>
      <c r="Q1474" s="3"/>
      <c r="R1474" s="3"/>
      <c r="S1474" s="3"/>
      <c r="T1474" s="3"/>
      <c r="U1474" s="3"/>
      <c r="V1474" s="3"/>
      <c r="W1474" s="3"/>
      <c r="X1474" s="3"/>
      <c r="Y1474" s="3"/>
      <c r="Z1474" s="3"/>
    </row>
    <row r="1475" spans="1:26" ht="15.6" x14ac:dyDescent="0.3">
      <c r="A1475" s="18" t="s">
        <v>23</v>
      </c>
      <c r="B1475" s="25" t="s">
        <v>1479</v>
      </c>
      <c r="C1475" s="2" t="str">
        <f ca="1">IFERROR(__xludf.DUMMYFUNCTION("GOOGLETRANSLATE(B1475, ""bn"", ""en"")"),"They are occupying the area of ​​Muslims by building temples. First they enter the festival, then they block the mosque, and finally they chase away the Muslims. This is their religious conspiracy and hypocrisy of secularism.")</f>
        <v>They are occupying the area of ​​Muslims by building temples. First they enter the festival, then they block the mosque, and finally they chase away the Muslims. This is their religious conspiracy and hypocrisy of secularism.</v>
      </c>
      <c r="D1475" s="5"/>
      <c r="E1475" s="5"/>
      <c r="F1475" s="5"/>
      <c r="G1475" s="5"/>
      <c r="H1475" s="5"/>
      <c r="I1475" s="5"/>
      <c r="J1475" s="5"/>
      <c r="K1475" s="5"/>
      <c r="L1475" s="5"/>
      <c r="M1475" s="5"/>
      <c r="N1475" s="5"/>
      <c r="O1475" s="5"/>
      <c r="P1475" s="5"/>
      <c r="Q1475" s="5"/>
      <c r="R1475" s="5"/>
      <c r="S1475" s="5"/>
      <c r="T1475" s="5"/>
      <c r="U1475" s="5"/>
      <c r="V1475" s="5"/>
      <c r="W1475" s="5"/>
      <c r="X1475" s="5"/>
      <c r="Y1475" s="5"/>
      <c r="Z1475" s="5"/>
    </row>
    <row r="1476" spans="1:26" ht="15.6" x14ac:dyDescent="0.3">
      <c r="A1476" s="18" t="s">
        <v>3</v>
      </c>
      <c r="B1476" s="25" t="s">
        <v>1480</v>
      </c>
      <c r="C1476" s="2" t="str">
        <f ca="1">IFERROR(__xludf.DUMMYFUNCTION("GOOGLETRANSLATE(B1476, ""bn"", ""en"")"),"We have seen insults and confusion spreading in the society in the name of religion. It is a major crime in society and bedevils our legal system.")</f>
        <v>We have seen insults and confusion spreading in the society in the name of religion. It is a major crime in society and bedevils our legal system.</v>
      </c>
      <c r="D1476" s="5"/>
      <c r="E1476" s="5"/>
      <c r="F1476" s="5"/>
      <c r="G1476" s="5"/>
      <c r="H1476" s="5"/>
      <c r="I1476" s="5"/>
      <c r="J1476" s="5"/>
      <c r="K1476" s="5"/>
      <c r="L1476" s="5"/>
      <c r="M1476" s="5"/>
      <c r="N1476" s="5"/>
      <c r="O1476" s="5"/>
      <c r="P1476" s="5"/>
      <c r="Q1476" s="5"/>
      <c r="R1476" s="5"/>
      <c r="S1476" s="5"/>
      <c r="T1476" s="5"/>
      <c r="U1476" s="5"/>
      <c r="V1476" s="5"/>
      <c r="W1476" s="5"/>
      <c r="X1476" s="5"/>
      <c r="Y1476" s="5"/>
      <c r="Z1476" s="5"/>
    </row>
    <row r="1477" spans="1:26" ht="15.6" x14ac:dyDescent="0.3">
      <c r="A1477" s="18" t="s">
        <v>3</v>
      </c>
      <c r="B1477" s="25" t="s">
        <v>1481</v>
      </c>
      <c r="C1477" s="2" t="str">
        <f ca="1">IFERROR(__xludf.DUMMYFUNCTION("GOOGLETRANSLATE(B1477, ""bn"", ""en"")"),"It seems futile to even imagine hearing about paradise because no heart can imagine paradise but still it feels like a calmness.")</f>
        <v>It seems futile to even imagine hearing about paradise because no heart can imagine paradise but still it feels like a calmness.</v>
      </c>
      <c r="D1477" s="2"/>
      <c r="E1477" s="2"/>
      <c r="F1477" s="2"/>
      <c r="G1477" s="2"/>
      <c r="H1477" s="3"/>
      <c r="I1477" s="3"/>
      <c r="J1477" s="3"/>
      <c r="K1477" s="3"/>
      <c r="L1477" s="3"/>
      <c r="M1477" s="3"/>
      <c r="N1477" s="3"/>
      <c r="O1477" s="3"/>
      <c r="P1477" s="3"/>
      <c r="Q1477" s="3"/>
      <c r="R1477" s="3"/>
      <c r="S1477" s="3"/>
      <c r="T1477" s="3"/>
      <c r="U1477" s="3"/>
      <c r="V1477" s="3"/>
      <c r="W1477" s="3"/>
      <c r="X1477" s="3"/>
      <c r="Y1477" s="3"/>
      <c r="Z1477" s="3"/>
    </row>
    <row r="1478" spans="1:26" ht="15.6" x14ac:dyDescent="0.3">
      <c r="A1478" s="19" t="s">
        <v>5</v>
      </c>
      <c r="B1478" s="28" t="s">
        <v>1482</v>
      </c>
      <c r="C1478" s="2" t="str">
        <f ca="1">IFERROR(__xludf.DUMMYFUNCTION("GOOGLETRANSLATE(B1478, ""bn"", ""en"")"),"In 1572, thousands of Protestants were killed by Catholics during sectarian violence in the following cities - Paris, Aix, Bordeaux, Bourges, Lyon, Mews, Orleans, Rouen, Toulouse and Troyes.")</f>
        <v>In 1572, thousands of Protestants were killed by Catholics during sectarian violence in the following cities - Paris, Aix, Bordeaux, Bourges, Lyon, Mews, Orleans, Rouen, Toulouse and Troyes.</v>
      </c>
      <c r="D1478" s="5"/>
      <c r="E1478" s="5"/>
      <c r="F1478" s="5"/>
      <c r="G1478" s="5"/>
      <c r="H1478" s="5"/>
      <c r="I1478" s="5"/>
      <c r="J1478" s="5"/>
      <c r="K1478" s="5"/>
      <c r="L1478" s="5"/>
      <c r="M1478" s="5"/>
      <c r="N1478" s="5"/>
      <c r="O1478" s="5"/>
      <c r="P1478" s="5"/>
      <c r="Q1478" s="5"/>
      <c r="R1478" s="5"/>
      <c r="S1478" s="5"/>
      <c r="T1478" s="5"/>
      <c r="U1478" s="5"/>
      <c r="V1478" s="5"/>
      <c r="W1478" s="5"/>
      <c r="X1478" s="5"/>
      <c r="Y1478" s="5"/>
      <c r="Z1478" s="5"/>
    </row>
    <row r="1479" spans="1:26" ht="15.6" x14ac:dyDescent="0.3">
      <c r="A1479" s="18" t="s">
        <v>5</v>
      </c>
      <c r="B1479" s="24" t="s">
        <v>1483</v>
      </c>
      <c r="C1479" s="2" t="str">
        <f ca="1">IFERROR(__xludf.DUMMYFUNCTION("GOOGLETRANSLATE(B1479, ""bn"", ""en"")"),"Fighting broke out between Hindu and Muslim communities over a communal issue in Jhenaidah. The clashes escalated into violence on both sides and at least 27 people were killed. Among the dead are women and children. In this incident, there was extensive "&amp;"vandalism in the village, many families were forced to flee the place.")</f>
        <v>Fighting broke out between Hindu and Muslim communities over a communal issue in Jhenaidah. The clashes escalated into violence on both sides and at least 27 people were killed. Among the dead are women and children. In this incident, there was extensive vandalism in the village, many families were forced to flee the place.</v>
      </c>
      <c r="D1479" s="5"/>
      <c r="E1479" s="5"/>
      <c r="F1479" s="5"/>
      <c r="G1479" s="5"/>
      <c r="H1479" s="5"/>
      <c r="I1479" s="5"/>
      <c r="J1479" s="5"/>
      <c r="K1479" s="5"/>
      <c r="L1479" s="5"/>
      <c r="M1479" s="5"/>
      <c r="N1479" s="5"/>
      <c r="O1479" s="5"/>
      <c r="P1479" s="5"/>
      <c r="Q1479" s="5"/>
      <c r="R1479" s="5"/>
      <c r="S1479" s="5"/>
      <c r="T1479" s="5"/>
      <c r="U1479" s="5"/>
      <c r="V1479" s="5"/>
      <c r="W1479" s="5"/>
      <c r="X1479" s="5"/>
      <c r="Y1479" s="5"/>
      <c r="Z1479" s="5"/>
    </row>
    <row r="1480" spans="1:26" ht="15.6" x14ac:dyDescent="0.3">
      <c r="A1480" s="19" t="s">
        <v>3</v>
      </c>
      <c r="B1480" s="26" t="s">
        <v>1484</v>
      </c>
      <c r="C1480" s="2" t="str">
        <f ca="1">IFERROR(__xludf.DUMMYFUNCTION("GOOGLETRANSLATE(B1480, ""bn"", ""en"")"),"They unconsciously harbored different ideas, but if they knew they would understand this religion of peace and beauty. Allah Almighty, we pray guide everyone to the path of truth and goodness.")</f>
        <v>They unconsciously harbored different ideas, but if they knew they would understand this religion of peace and beauty. Allah Almighty, we pray guide everyone to the path of truth and goodness.</v>
      </c>
      <c r="D1480" s="7"/>
      <c r="E1480" s="7"/>
      <c r="F1480" s="7"/>
      <c r="G1480" s="7"/>
      <c r="H1480" s="7"/>
      <c r="I1480" s="7"/>
      <c r="J1480" s="7"/>
      <c r="K1480" s="7"/>
      <c r="L1480" s="7"/>
      <c r="M1480" s="7"/>
      <c r="N1480" s="5"/>
      <c r="O1480" s="5"/>
      <c r="P1480" s="5"/>
      <c r="Q1480" s="5"/>
      <c r="R1480" s="5"/>
      <c r="S1480" s="5"/>
      <c r="T1480" s="5"/>
      <c r="U1480" s="5"/>
      <c r="V1480" s="5"/>
      <c r="W1480" s="5"/>
      <c r="X1480" s="5"/>
      <c r="Y1480" s="5"/>
      <c r="Z1480" s="5"/>
    </row>
    <row r="1481" spans="1:26" ht="15.6" x14ac:dyDescent="0.3">
      <c r="A1481" s="19" t="s">
        <v>8</v>
      </c>
      <c r="B1481" s="26" t="s">
        <v>1485</v>
      </c>
      <c r="C1481" s="2" t="str">
        <f ca="1">IFERROR(__xludf.DUMMYFUNCTION("GOOGLETRANSLATE(B1481, ""bn"", ""en"")"),"In addition to looting and vandalizing idols and idols in another worship hall in Biswaspara of Pekua Union in Cox's Bazar district, 16 residential houses were also looted. When the police reached the spot after receiving the information, a chase and coun"&amp;"ter-chase happened with the attackers. Police fired blanks to bring the situation under control.")</f>
        <v>In addition to looting and vandalizing idols and idols in another worship hall in Biswaspara of Pekua Union in Cox's Bazar district, 16 residential houses were also looted. When the police reached the spot after receiving the information, a chase and counter-chase happened with the attackers. Police fired blanks to bring the situation under control.</v>
      </c>
      <c r="D1481" s="7"/>
      <c r="E1481" s="7"/>
      <c r="F1481" s="7"/>
      <c r="G1481" s="7"/>
      <c r="H1481" s="7"/>
      <c r="I1481" s="7"/>
      <c r="J1481" s="7"/>
      <c r="K1481" s="7"/>
      <c r="L1481" s="7"/>
      <c r="M1481" s="7"/>
      <c r="N1481" s="7"/>
      <c r="O1481" s="7"/>
      <c r="P1481" s="7"/>
      <c r="Q1481" s="7"/>
      <c r="R1481" s="7"/>
      <c r="S1481" s="7"/>
      <c r="T1481" s="7"/>
      <c r="U1481" s="7"/>
      <c r="V1481" s="5"/>
      <c r="W1481" s="5"/>
      <c r="X1481" s="5"/>
      <c r="Y1481" s="5"/>
      <c r="Z1481" s="5"/>
    </row>
    <row r="1482" spans="1:26" ht="15.6" x14ac:dyDescent="0.3">
      <c r="A1482" s="18" t="s">
        <v>3</v>
      </c>
      <c r="B1482" s="25" t="s">
        <v>1486</v>
      </c>
      <c r="C1482" s="2" t="str">
        <f ca="1">IFERROR(__xludf.DUMMYFUNCTION("GOOGLETRANSLATE(B1482, ""bn"", ""en"")"),"The fundamental principles of Islam have been around since the beginning of human creation. However, there were various differences in the method and time of cultivation.")</f>
        <v>The fundamental principles of Islam have been around since the beginning of human creation. However, there were various differences in the method and time of cultivation.</v>
      </c>
      <c r="D1482" s="5"/>
      <c r="E1482" s="5"/>
      <c r="F1482" s="5"/>
      <c r="G1482" s="5"/>
      <c r="H1482" s="5"/>
      <c r="I1482" s="5"/>
      <c r="J1482" s="5"/>
      <c r="K1482" s="5"/>
      <c r="L1482" s="5"/>
      <c r="M1482" s="5"/>
      <c r="N1482" s="5"/>
      <c r="O1482" s="5"/>
      <c r="P1482" s="5"/>
      <c r="Q1482" s="5"/>
      <c r="R1482" s="5"/>
      <c r="S1482" s="5"/>
      <c r="T1482" s="5"/>
      <c r="U1482" s="5"/>
      <c r="V1482" s="5"/>
      <c r="W1482" s="5"/>
      <c r="X1482" s="5"/>
      <c r="Y1482" s="5"/>
      <c r="Z1482" s="5"/>
    </row>
    <row r="1483" spans="1:26" ht="15.6" x14ac:dyDescent="0.3">
      <c r="A1483" s="18" t="s">
        <v>8</v>
      </c>
      <c r="B1483" s="25" t="s">
        <v>1487</v>
      </c>
      <c r="C1483" s="2" t="str">
        <f ca="1">IFERROR(__xludf.DUMMYFUNCTION("GOOGLETRANSLATE(B1483, ""bn"", ""en"")"),"Several ministers in Bangladesh have said that the government believes that some groups have tried to create unrest by causing a series of violent incidents by spreading rumors of insulting religion.")</f>
        <v>Several ministers in Bangladesh have said that the government believes that some groups have tried to create unrest by causing a series of violent incidents by spreading rumors of insulting religion.</v>
      </c>
      <c r="D1483" s="5"/>
      <c r="E1483" s="5"/>
      <c r="F1483" s="5"/>
      <c r="G1483" s="5"/>
      <c r="H1483" s="5"/>
      <c r="I1483" s="5"/>
      <c r="J1483" s="5"/>
      <c r="K1483" s="5"/>
      <c r="L1483" s="5"/>
      <c r="M1483" s="5"/>
      <c r="N1483" s="5"/>
      <c r="O1483" s="5"/>
      <c r="P1483" s="5"/>
      <c r="Q1483" s="5"/>
      <c r="R1483" s="5"/>
      <c r="S1483" s="5"/>
      <c r="T1483" s="5"/>
      <c r="U1483" s="5"/>
      <c r="V1483" s="5"/>
      <c r="W1483" s="5"/>
      <c r="X1483" s="5"/>
      <c r="Y1483" s="5"/>
      <c r="Z1483" s="5"/>
    </row>
    <row r="1484" spans="1:26" ht="15.6" x14ac:dyDescent="0.3">
      <c r="A1484" s="18" t="s">
        <v>5</v>
      </c>
      <c r="B1484" s="24" t="s">
        <v>1488</v>
      </c>
      <c r="C1484" s="2" t="str">
        <f ca="1">IFERROR(__xludf.DUMMYFUNCTION("GOOGLETRANSLATE(B1484, ""bn"", ""en"")"),"Clashes broke out between Hindus and Muslims during a religious gathering in Chandpur. 27 people were killed in the clashes and many temples and mosques were burnt. The local administration took strict measures to control the situation.")</f>
        <v>Clashes broke out between Hindus and Muslims during a religious gathering in Chandpur. 27 people were killed in the clashes and many temples and mosques were burnt. The local administration took strict measures to control the situation.</v>
      </c>
      <c r="D1484" s="5"/>
      <c r="E1484" s="5"/>
      <c r="F1484" s="5"/>
      <c r="G1484" s="5"/>
      <c r="H1484" s="5"/>
      <c r="I1484" s="5"/>
      <c r="J1484" s="5"/>
      <c r="K1484" s="5"/>
      <c r="L1484" s="5"/>
      <c r="M1484" s="5"/>
      <c r="N1484" s="5"/>
      <c r="O1484" s="5"/>
      <c r="P1484" s="5"/>
      <c r="Q1484" s="5"/>
      <c r="R1484" s="5"/>
      <c r="S1484" s="5"/>
      <c r="T1484" s="5"/>
      <c r="U1484" s="5"/>
      <c r="V1484" s="5"/>
      <c r="W1484" s="5"/>
      <c r="X1484" s="5"/>
      <c r="Y1484" s="5"/>
      <c r="Z1484" s="5"/>
    </row>
    <row r="1485" spans="1:26" ht="15.6" x14ac:dyDescent="0.3">
      <c r="A1485" s="18" t="s">
        <v>23</v>
      </c>
      <c r="B1485" s="25" t="s">
        <v>1489</v>
      </c>
      <c r="C1485" s="2" t="str">
        <f ca="1">IFERROR(__xludf.DUMMYFUNCTION("GOOGLETRANSLATE(B1485, ""bn"", ""en"")"),"I strongly condemn and protest against the desecration of the Holy Quran Sharif in the worship hall in Comilla!")</f>
        <v>I strongly condemn and protest against the desecration of the Holy Quran Sharif in the worship hall in Comilla!</v>
      </c>
      <c r="D1485" s="5"/>
      <c r="E1485" s="5"/>
      <c r="F1485" s="5"/>
      <c r="G1485" s="5"/>
      <c r="H1485" s="5"/>
      <c r="I1485" s="5"/>
      <c r="J1485" s="5"/>
      <c r="K1485" s="5"/>
      <c r="L1485" s="5"/>
      <c r="M1485" s="5"/>
      <c r="N1485" s="5"/>
      <c r="O1485" s="5"/>
      <c r="P1485" s="5"/>
      <c r="Q1485" s="5"/>
      <c r="R1485" s="5"/>
      <c r="S1485" s="5"/>
      <c r="T1485" s="5"/>
      <c r="U1485" s="5"/>
      <c r="V1485" s="5"/>
      <c r="W1485" s="5"/>
      <c r="X1485" s="5"/>
      <c r="Y1485" s="5"/>
      <c r="Z1485" s="5"/>
    </row>
    <row r="1486" spans="1:26" ht="15.6" x14ac:dyDescent="0.3">
      <c r="A1486" s="18" t="s">
        <v>23</v>
      </c>
      <c r="B1486" s="25" t="s">
        <v>1490</v>
      </c>
      <c r="C1486" s="2" t="str">
        <f ca="1">IFERROR(__xludf.DUMMYFUNCTION("GOOGLETRANSLATE(B1486, ""bn"", ""en"")"),"Keep yourself away from pages, groups, IDs that share or post anti-religious, anti-national, false information.")</f>
        <v>Keep yourself away from pages, groups, IDs that share or post anti-religious, anti-national, false information.</v>
      </c>
      <c r="D1486" s="2"/>
      <c r="E1486" s="2"/>
      <c r="F1486" s="2"/>
      <c r="G1486" s="2"/>
      <c r="H1486" s="5"/>
      <c r="I1486" s="5"/>
      <c r="J1486" s="5"/>
      <c r="K1486" s="5"/>
      <c r="L1486" s="5"/>
      <c r="M1486" s="5"/>
      <c r="N1486" s="5"/>
      <c r="O1486" s="5"/>
      <c r="P1486" s="5"/>
      <c r="Q1486" s="5"/>
      <c r="R1486" s="5"/>
      <c r="S1486" s="5"/>
      <c r="T1486" s="5"/>
      <c r="U1486" s="5"/>
      <c r="V1486" s="5"/>
      <c r="W1486" s="5"/>
      <c r="X1486" s="5"/>
      <c r="Y1486" s="5"/>
      <c r="Z1486" s="5"/>
    </row>
    <row r="1487" spans="1:26" ht="15.6" x14ac:dyDescent="0.3">
      <c r="A1487" s="18" t="s">
        <v>3</v>
      </c>
      <c r="B1487" s="25" t="s">
        <v>1491</v>
      </c>
      <c r="C1487" s="2" t="str">
        <f ca="1">IFERROR(__xludf.DUMMYFUNCTION("GOOGLETRANSLATE(B1487, ""bn"", ""en"")"),"Our almighty Allah subhanallah provides for our sustenance. Ya Allah subhanallah wa ta'ala taala we love you and your beloved prophet very much.")</f>
        <v>Our almighty Allah subhanallah provides for our sustenance. Ya Allah subhanallah wa ta'ala taala we love you and your beloved prophet very much.</v>
      </c>
      <c r="D1487" s="2"/>
      <c r="E1487" s="2"/>
      <c r="F1487" s="2"/>
      <c r="G1487" s="2"/>
      <c r="H1487" s="3"/>
      <c r="I1487" s="3"/>
      <c r="J1487" s="3"/>
      <c r="K1487" s="3"/>
      <c r="L1487" s="3"/>
      <c r="M1487" s="3"/>
      <c r="N1487" s="3"/>
      <c r="O1487" s="3"/>
      <c r="P1487" s="3"/>
      <c r="Q1487" s="3"/>
      <c r="R1487" s="3"/>
      <c r="S1487" s="3"/>
      <c r="T1487" s="3"/>
      <c r="U1487" s="3"/>
      <c r="V1487" s="3"/>
      <c r="W1487" s="3"/>
      <c r="X1487" s="3"/>
      <c r="Y1487" s="3"/>
      <c r="Z1487" s="3"/>
    </row>
    <row r="1488" spans="1:26" ht="15.6" x14ac:dyDescent="0.3">
      <c r="A1488" s="18" t="s">
        <v>3</v>
      </c>
      <c r="B1488" s="25" t="s">
        <v>1492</v>
      </c>
      <c r="C1488" s="2" t="str">
        <f ca="1">IFERROR(__xludf.DUMMYFUNCTION("GOOGLETRANSLATE(B1488, ""bn"", ""en"")"),"Religion brings harmony between worldly and spiritual happiness in man. It shows him the path of spiritual progress along with the joys of life.")</f>
        <v>Religion brings harmony between worldly and spiritual happiness in man. It shows him the path of spiritual progress along with the joys of life.</v>
      </c>
      <c r="D1488" s="2"/>
      <c r="E1488" s="2"/>
      <c r="F1488" s="2"/>
      <c r="G1488" s="2"/>
      <c r="H1488" s="3"/>
      <c r="I1488" s="3"/>
      <c r="J1488" s="3"/>
      <c r="K1488" s="3"/>
      <c r="L1488" s="3"/>
      <c r="M1488" s="3"/>
      <c r="N1488" s="3"/>
      <c r="O1488" s="3"/>
      <c r="P1488" s="3"/>
      <c r="Q1488" s="3"/>
      <c r="R1488" s="3"/>
      <c r="S1488" s="3"/>
      <c r="T1488" s="3"/>
      <c r="U1488" s="3"/>
      <c r="V1488" s="3"/>
      <c r="W1488" s="3"/>
      <c r="X1488" s="3"/>
      <c r="Y1488" s="3"/>
      <c r="Z1488" s="3"/>
    </row>
    <row r="1489" spans="1:26" ht="15.6" x14ac:dyDescent="0.3">
      <c r="A1489" s="19" t="s">
        <v>3</v>
      </c>
      <c r="B1489" s="26" t="s">
        <v>1493</v>
      </c>
      <c r="C1489" s="2" t="str">
        <f ca="1">IFERROR(__xludf.DUMMYFUNCTION("GOOGLETRANSLATE(B1489, ""bn"", ""en"")"),"The girl's parents are Buddhists, the husband claims she became a Muslim. Both parties have applied to the court for ownership of the body.")</f>
        <v>The girl's parents are Buddhists, the husband claims she became a Muslim. Both parties have applied to the court for ownership of the body.</v>
      </c>
      <c r="D1489" s="7"/>
      <c r="E1489" s="7"/>
      <c r="F1489" s="7"/>
      <c r="G1489" s="7"/>
      <c r="H1489" s="7"/>
      <c r="I1489" s="5"/>
      <c r="J1489" s="5"/>
      <c r="K1489" s="5"/>
      <c r="L1489" s="5"/>
      <c r="M1489" s="5"/>
      <c r="N1489" s="5"/>
      <c r="O1489" s="5"/>
      <c r="P1489" s="5"/>
      <c r="Q1489" s="5"/>
      <c r="R1489" s="5"/>
      <c r="S1489" s="5"/>
      <c r="T1489" s="5"/>
      <c r="U1489" s="5"/>
      <c r="V1489" s="5"/>
      <c r="W1489" s="5"/>
      <c r="X1489" s="5"/>
      <c r="Y1489" s="5"/>
      <c r="Z1489" s="5"/>
    </row>
    <row r="1490" spans="1:26" ht="15.6" x14ac:dyDescent="0.3">
      <c r="A1490" s="18" t="s">
        <v>3</v>
      </c>
      <c r="B1490" s="25" t="s">
        <v>1494</v>
      </c>
      <c r="C1490" s="2" t="str">
        <f ca="1">IFERROR(__xludf.DUMMYFUNCTION("GOOGLETRANSLATE(B1490, ""bn"", ""en"")"),"Assalamu Alaikum brother, MashaAllah the way you explained is so beautiful, explain it so beautifully. May Allah grant you more understanding.")</f>
        <v>Assalamu Alaikum brother, MashaAllah the way you explained is so beautiful, explain it so beautifully. May Allah grant you more understanding.</v>
      </c>
      <c r="D1490" s="2"/>
      <c r="E1490" s="2"/>
      <c r="F1490" s="2"/>
      <c r="G1490" s="2"/>
      <c r="H1490" s="3"/>
      <c r="I1490" s="3"/>
      <c r="J1490" s="3"/>
      <c r="K1490" s="3"/>
      <c r="L1490" s="3"/>
      <c r="M1490" s="3"/>
      <c r="N1490" s="3"/>
      <c r="O1490" s="3"/>
      <c r="P1490" s="3"/>
      <c r="Q1490" s="3"/>
      <c r="R1490" s="3"/>
      <c r="S1490" s="3"/>
      <c r="T1490" s="3"/>
      <c r="U1490" s="3"/>
      <c r="V1490" s="3"/>
      <c r="W1490" s="3"/>
      <c r="X1490" s="3"/>
      <c r="Y1490" s="3"/>
      <c r="Z1490" s="3"/>
    </row>
    <row r="1491" spans="1:26" ht="15.6" x14ac:dyDescent="0.3">
      <c r="A1491" s="18" t="s">
        <v>23</v>
      </c>
      <c r="B1491" s="25" t="s">
        <v>1495</v>
      </c>
      <c r="C1491" s="2" t="str">
        <f ca="1">IFERROR(__xludf.DUMMYFUNCTION("GOOGLETRANSLATE(B1491, ""bn"", ""en"")"),"The Swedish government also condemned the burning of the Koran and called it ""Islamophobic"". According to the Swedish government, the freedom of assembly, expression and demonstration of people in our country is constitutionally protected.")</f>
        <v>The Swedish government also condemned the burning of the Koran and called it "Islamophobic". According to the Swedish government, the freedom of assembly, expression and demonstration of people in our country is constitutionally protected.</v>
      </c>
      <c r="D1491" s="5"/>
      <c r="E1491" s="5"/>
      <c r="F1491" s="5"/>
      <c r="G1491" s="5"/>
      <c r="H1491" s="5"/>
      <c r="I1491" s="5"/>
      <c r="J1491" s="5"/>
      <c r="K1491" s="5"/>
      <c r="L1491" s="5"/>
      <c r="M1491" s="5"/>
      <c r="N1491" s="5"/>
      <c r="O1491" s="5"/>
      <c r="P1491" s="5"/>
      <c r="Q1491" s="5"/>
      <c r="R1491" s="5"/>
      <c r="S1491" s="5"/>
      <c r="T1491" s="5"/>
      <c r="U1491" s="5"/>
      <c r="V1491" s="5"/>
      <c r="W1491" s="5"/>
      <c r="X1491" s="5"/>
      <c r="Y1491" s="5"/>
      <c r="Z1491" s="5"/>
    </row>
    <row r="1492" spans="1:26" ht="15.6" x14ac:dyDescent="0.3">
      <c r="A1492" s="18" t="s">
        <v>3</v>
      </c>
      <c r="B1492" s="25" t="s">
        <v>1496</v>
      </c>
      <c r="C1492" s="2" t="str">
        <f ca="1">IFERROR(__xludf.DUMMYFUNCTION("GOOGLETRANSLATE(B1492, ""bn"", ""en"")"),"We can express opinion, but cannot hurt anyone's religious sentiments. There is no compulsion regarding one's religious beliefs.")</f>
        <v>We can express opinion, but cannot hurt anyone's religious sentiments. There is no compulsion regarding one's religious beliefs.</v>
      </c>
      <c r="D1492" s="2"/>
      <c r="E1492" s="2"/>
      <c r="F1492" s="2"/>
      <c r="G1492" s="2"/>
      <c r="H1492" s="3"/>
      <c r="I1492" s="3"/>
      <c r="J1492" s="3"/>
      <c r="K1492" s="3"/>
      <c r="L1492" s="3"/>
      <c r="M1492" s="3"/>
      <c r="N1492" s="3"/>
      <c r="O1492" s="3"/>
      <c r="P1492" s="3"/>
      <c r="Q1492" s="3"/>
      <c r="R1492" s="3"/>
      <c r="S1492" s="3"/>
      <c r="T1492" s="3"/>
      <c r="U1492" s="3"/>
      <c r="V1492" s="3"/>
      <c r="W1492" s="3"/>
      <c r="X1492" s="3"/>
      <c r="Y1492" s="3"/>
      <c r="Z1492" s="3"/>
    </row>
    <row r="1493" spans="1:26" ht="15.6" x14ac:dyDescent="0.3">
      <c r="A1493" s="19" t="s">
        <v>3</v>
      </c>
      <c r="B1493" s="26" t="s">
        <v>1497</v>
      </c>
      <c r="C1493" s="2" t="str">
        <f ca="1">IFERROR(__xludf.DUMMYFUNCTION("GOOGLETRANSLATE(B1493, ""bn"", ""en"")"),"He was religious, always wore circumcised clothes and kept a beard. He used to stand beside the students in moral work. So maybe he was punished unfairly. Students should not accept this injustice.")</f>
        <v>He was religious, always wore circumcised clothes and kept a beard. He used to stand beside the students in moral work. So maybe he was punished unfairly. Students should not accept this injustice.</v>
      </c>
      <c r="D1493" s="7"/>
      <c r="E1493" s="7"/>
      <c r="F1493" s="7"/>
      <c r="G1493" s="7"/>
      <c r="H1493" s="7"/>
      <c r="I1493" s="7"/>
      <c r="J1493" s="7"/>
      <c r="K1493" s="7"/>
      <c r="L1493" s="7"/>
      <c r="M1493" s="7"/>
      <c r="N1493" s="7"/>
      <c r="O1493" s="7"/>
      <c r="P1493" s="7"/>
      <c r="Q1493" s="5"/>
      <c r="R1493" s="5"/>
      <c r="S1493" s="5"/>
      <c r="T1493" s="5"/>
      <c r="U1493" s="5"/>
      <c r="V1493" s="5"/>
      <c r="W1493" s="5"/>
      <c r="X1493" s="5"/>
      <c r="Y1493" s="5"/>
      <c r="Z1493" s="5"/>
    </row>
    <row r="1494" spans="1:26" ht="15.6" x14ac:dyDescent="0.3">
      <c r="A1494" s="19" t="s">
        <v>8</v>
      </c>
      <c r="B1494" s="26" t="s">
        <v>1498</v>
      </c>
      <c r="C1494" s="2" t="str">
        <f ca="1">IFERROR(__xludf.DUMMYFUNCTION("GOOGLETRANSLATE(B1494, ""bn"", ""en"")"),"On the night of 29 September 2012, 12 Buddhist monasteries and about 30 houses were attacked, looted and set on fire in Ramu Upazila in the southern region. A post shared on Facebook was the reason behind the attack.")</f>
        <v>On the night of 29 September 2012, 12 Buddhist monasteries and about 30 houses were attacked, looted and set on fire in Ramu Upazila in the southern region. A post shared on Facebook was the reason behind the attack.</v>
      </c>
      <c r="D1494" s="7"/>
      <c r="E1494" s="7"/>
      <c r="F1494" s="7"/>
      <c r="G1494" s="7"/>
      <c r="H1494" s="7"/>
      <c r="I1494" s="7"/>
      <c r="J1494" s="7"/>
      <c r="K1494" s="7"/>
      <c r="L1494" s="7"/>
      <c r="M1494" s="7"/>
      <c r="N1494" s="7"/>
      <c r="O1494" s="7"/>
      <c r="P1494" s="7"/>
      <c r="Q1494" s="5"/>
      <c r="R1494" s="5"/>
      <c r="S1494" s="5"/>
      <c r="T1494" s="5"/>
      <c r="U1494" s="5"/>
      <c r="V1494" s="5"/>
      <c r="W1494" s="5"/>
      <c r="X1494" s="5"/>
      <c r="Y1494" s="5"/>
      <c r="Z1494" s="5"/>
    </row>
    <row r="1495" spans="1:26" ht="15.6" x14ac:dyDescent="0.3">
      <c r="A1495" s="18" t="s">
        <v>23</v>
      </c>
      <c r="B1495" s="25" t="s">
        <v>1499</v>
      </c>
      <c r="C1495" s="2" t="str">
        <f ca="1">IFERROR(__xludf.DUMMYFUNCTION("GOOGLETRANSLATE(B1495, ""bn"", ""en"")"),"Today is not the first time anyone has been affected by communalism, racism and extremism in this country. But the noteworthy thing is that standing by the side of those affected by this bad habit, being sympathetic has become a selective matter.")</f>
        <v>Today is not the first time anyone has been affected by communalism, racism and extremism in this country. But the noteworthy thing is that standing by the side of those affected by this bad habit, being sympathetic has become a selective matter.</v>
      </c>
      <c r="D1495" s="5"/>
      <c r="E1495" s="5"/>
      <c r="F1495" s="5"/>
      <c r="G1495" s="5"/>
      <c r="H1495" s="5"/>
      <c r="I1495" s="5"/>
      <c r="J1495" s="5"/>
      <c r="K1495" s="5"/>
      <c r="L1495" s="5"/>
      <c r="M1495" s="5"/>
      <c r="N1495" s="5"/>
      <c r="O1495" s="5"/>
      <c r="P1495" s="5"/>
      <c r="Q1495" s="5"/>
      <c r="R1495" s="5"/>
      <c r="S1495" s="5"/>
      <c r="T1495" s="5"/>
      <c r="U1495" s="5"/>
      <c r="V1495" s="5"/>
      <c r="W1495" s="5"/>
      <c r="X1495" s="5"/>
      <c r="Y1495" s="5"/>
      <c r="Z1495" s="5"/>
    </row>
    <row r="1496" spans="1:26" ht="15.6" x14ac:dyDescent="0.3">
      <c r="A1496" s="18" t="s">
        <v>8</v>
      </c>
      <c r="B1496" s="25" t="s">
        <v>1500</v>
      </c>
      <c r="C1496" s="2" t="str">
        <f ca="1">IFERROR(__xludf.DUMMYFUNCTION("GOOGLETRANSLATE(B1496, ""bn"", ""en"")"),"There are many examples of mosques-madrasas being bulldozed even though all the documents are in order. In the same way, even in Bangladesh, even though the documents are correct, Muslims are unable to protect their mosques.")</f>
        <v>There are many examples of mosques-madrasas being bulldozed even though all the documents are in order. In the same way, even in Bangladesh, even though the documents are correct, Muslims are unable to protect their mosques.</v>
      </c>
      <c r="D1496" s="5"/>
      <c r="E1496" s="5"/>
      <c r="F1496" s="5"/>
      <c r="G1496" s="5"/>
      <c r="H1496" s="5"/>
      <c r="I1496" s="5"/>
      <c r="J1496" s="5"/>
      <c r="K1496" s="5"/>
      <c r="L1496" s="5"/>
      <c r="M1496" s="5"/>
      <c r="N1496" s="5"/>
      <c r="O1496" s="5"/>
      <c r="P1496" s="5"/>
      <c r="Q1496" s="5"/>
      <c r="R1496" s="5"/>
      <c r="S1496" s="5"/>
      <c r="T1496" s="5"/>
      <c r="U1496" s="5"/>
      <c r="V1496" s="5"/>
      <c r="W1496" s="5"/>
      <c r="X1496" s="5"/>
      <c r="Y1496" s="5"/>
      <c r="Z1496" s="5"/>
    </row>
    <row r="1497" spans="1:26" ht="15.6" x14ac:dyDescent="0.3">
      <c r="A1497" s="18" t="s">
        <v>23</v>
      </c>
      <c r="B1497" s="25" t="s">
        <v>1501</v>
      </c>
      <c r="C1497" s="2" t="str">
        <f ca="1">IFERROR(__xludf.DUMMYFUNCTION("GOOGLETRANSLATE(B1497, ""bn"", ""en"")"),"Hindu girls are abducted by Muslims and many are forced into marriage. Harendranath Kar's daughter Mila Kar is abducted and forcibly married by a civil supply contractor named Sultan Mian.")</f>
        <v>Hindu girls are abducted by Muslims and many are forced into marriage. Harendranath Kar's daughter Mila Kar is abducted and forcibly married by a civil supply contractor named Sultan Mian.</v>
      </c>
      <c r="D1497" s="5"/>
      <c r="E1497" s="5"/>
      <c r="F1497" s="5"/>
      <c r="G1497" s="5"/>
      <c r="H1497" s="5"/>
      <c r="I1497" s="5"/>
      <c r="J1497" s="5"/>
      <c r="K1497" s="5"/>
      <c r="L1497" s="5"/>
      <c r="M1497" s="5"/>
      <c r="N1497" s="5"/>
      <c r="O1497" s="5"/>
      <c r="P1497" s="5"/>
      <c r="Q1497" s="5"/>
      <c r="R1497" s="5"/>
      <c r="S1497" s="5"/>
      <c r="T1497" s="5"/>
      <c r="U1497" s="5"/>
      <c r="V1497" s="5"/>
      <c r="W1497" s="5"/>
      <c r="X1497" s="5"/>
      <c r="Y1497" s="5"/>
      <c r="Z1497" s="5"/>
    </row>
    <row r="1498" spans="1:26" ht="15.6" x14ac:dyDescent="0.3">
      <c r="A1498" s="18" t="s">
        <v>23</v>
      </c>
      <c r="B1498" s="25" t="s">
        <v>1502</v>
      </c>
      <c r="C1498" s="2" t="str">
        <f ca="1">IFERROR(__xludf.DUMMYFUNCTION("GOOGLETRANSLATE(B1498, ""bn"", ""en"")"),"These statements about religion are again being spread through social media, showing the superiority of their religion and that one day all people will come under that religion.")</f>
        <v>These statements about religion are again being spread through social media, showing the superiority of their religion and that one day all people will come under that religion.</v>
      </c>
      <c r="D1498" s="6"/>
      <c r="E1498" s="2"/>
      <c r="F1498" s="2"/>
      <c r="G1498" s="2"/>
      <c r="H1498" s="5"/>
      <c r="I1498" s="5"/>
      <c r="J1498" s="5"/>
      <c r="K1498" s="5"/>
      <c r="L1498" s="5"/>
      <c r="M1498" s="5"/>
      <c r="N1498" s="5"/>
      <c r="O1498" s="5"/>
      <c r="P1498" s="5"/>
      <c r="Q1498" s="5"/>
      <c r="R1498" s="5"/>
      <c r="S1498" s="5"/>
      <c r="T1498" s="5"/>
      <c r="U1498" s="5"/>
      <c r="V1498" s="5"/>
      <c r="W1498" s="5"/>
      <c r="X1498" s="5"/>
      <c r="Y1498" s="5"/>
      <c r="Z1498" s="5"/>
    </row>
    <row r="1499" spans="1:26" ht="15.6" x14ac:dyDescent="0.3">
      <c r="A1499" s="19" t="s">
        <v>5</v>
      </c>
      <c r="B1499" s="26" t="s">
        <v>1503</v>
      </c>
      <c r="C1499" s="2" t="str">
        <f ca="1">IFERROR(__xludf.DUMMYFUNCTION("GOOGLETRANSLATE(B1499, ""bn"", ""en"")"),"Over 100 churches and institutions were burned down, more than 700 homes were damaged and three people were killed in three days of violence during Christmas 2007.")</f>
        <v>Over 100 churches and institutions were burned down, more than 700 homes were damaged and three people were killed in three days of violence during Christmas 2007.</v>
      </c>
      <c r="D1499" s="7"/>
      <c r="E1499" s="7"/>
      <c r="F1499" s="7"/>
      <c r="G1499" s="7"/>
      <c r="H1499" s="7"/>
      <c r="I1499" s="7"/>
      <c r="J1499" s="7"/>
      <c r="K1499" s="5"/>
      <c r="L1499" s="5"/>
      <c r="M1499" s="5"/>
      <c r="N1499" s="5"/>
      <c r="O1499" s="5"/>
      <c r="P1499" s="5"/>
      <c r="Q1499" s="5"/>
      <c r="R1499" s="5"/>
      <c r="S1499" s="5"/>
      <c r="T1499" s="5"/>
      <c r="U1499" s="5"/>
      <c r="V1499" s="5"/>
      <c r="W1499" s="5"/>
      <c r="X1499" s="5"/>
      <c r="Y1499" s="5"/>
      <c r="Z1499" s="5"/>
    </row>
    <row r="1500" spans="1:26" ht="15.6" x14ac:dyDescent="0.3">
      <c r="A1500" s="19" t="s">
        <v>23</v>
      </c>
      <c r="B1500" s="26" t="s">
        <v>1504</v>
      </c>
      <c r="C1500" s="2" t="str">
        <f ca="1">IFERROR(__xludf.DUMMYFUNCTION("GOOGLETRANSLATE(B1500, ""bn"", ""en"")"),"Charlie Hebdo is a highly controversial French magazine. The magazine publishes anti-establishment satirical cartoons in the name of free speech, and has long been at the center of controversy for its satirical cartoons about Catholicism, Christianity, Ju"&amp;"daism, and Islam. has arrived")</f>
        <v>Charlie Hebdo is a highly controversial French magazine. The magazine publishes anti-establishment satirical cartoons in the name of free speech, and has long been at the center of controversy for its satirical cartoons about Catholicism, Christianity, Judaism, and Islam. has arrived</v>
      </c>
      <c r="D1500" s="7"/>
      <c r="E1500" s="7"/>
      <c r="F1500" s="7"/>
      <c r="G1500" s="7"/>
      <c r="H1500" s="7"/>
      <c r="I1500" s="5"/>
      <c r="J1500" s="5"/>
      <c r="K1500" s="5"/>
      <c r="L1500" s="5"/>
      <c r="M1500" s="5"/>
      <c r="N1500" s="5"/>
      <c r="O1500" s="5"/>
      <c r="P1500" s="5"/>
      <c r="Q1500" s="5"/>
      <c r="R1500" s="5"/>
      <c r="S1500" s="5"/>
      <c r="T1500" s="5"/>
      <c r="U1500" s="5"/>
      <c r="V1500" s="5"/>
      <c r="W1500" s="5"/>
      <c r="X1500" s="5"/>
      <c r="Y1500" s="5"/>
      <c r="Z1500" s="5"/>
    </row>
    <row r="1501" spans="1:26" ht="15.6" x14ac:dyDescent="0.3">
      <c r="A1501" s="18" t="s">
        <v>3</v>
      </c>
      <c r="B1501" s="25" t="s">
        <v>1505</v>
      </c>
      <c r="C1501" s="2" t="str">
        <f ca="1">IFERROR(__xludf.DUMMYFUNCTION("GOOGLETRANSLATE(B1501, ""bn"", ""en"")"),"And the Christian citizens of that country are coming and taking pictures and enjoying the joy")</f>
        <v>And the Christian citizens of that country are coming and taking pictures and enjoying the joy</v>
      </c>
      <c r="D1501" s="5"/>
      <c r="E1501" s="5"/>
      <c r="F1501" s="5"/>
      <c r="G1501" s="5"/>
      <c r="H1501" s="5"/>
      <c r="I1501" s="5"/>
      <c r="J1501" s="5"/>
      <c r="K1501" s="5"/>
      <c r="L1501" s="5"/>
      <c r="M1501" s="5"/>
      <c r="N1501" s="5"/>
      <c r="O1501" s="5"/>
      <c r="P1501" s="5"/>
      <c r="Q1501" s="5"/>
      <c r="R1501" s="5"/>
      <c r="S1501" s="5"/>
      <c r="T1501" s="5"/>
      <c r="U1501" s="5"/>
      <c r="V1501" s="5"/>
      <c r="W1501" s="5"/>
      <c r="X1501" s="5"/>
      <c r="Y1501" s="5"/>
      <c r="Z1501" s="5"/>
    </row>
    <row r="1502" spans="1:26" ht="15.6" x14ac:dyDescent="0.3">
      <c r="A1502" s="19" t="s">
        <v>3</v>
      </c>
      <c r="B1502" s="26" t="s">
        <v>1506</v>
      </c>
      <c r="C1502" s="2" t="str">
        <f ca="1">IFERROR(__xludf.DUMMYFUNCTION("GOOGLETRANSLATE(B1502, ""bn"", ""en"")"),"Believed to bestow luck for the whole year and cleanse them from sins. In many regions, this is a night when prayers are offered to their deceased ancestors for forgiveness.")</f>
        <v>Believed to bestow luck for the whole year and cleanse them from sins. In many regions, this is a night when prayers are offered to their deceased ancestors for forgiveness.</v>
      </c>
      <c r="D1502" s="5"/>
      <c r="E1502" s="5"/>
      <c r="F1502" s="5"/>
      <c r="G1502" s="5"/>
      <c r="H1502" s="5"/>
      <c r="I1502" s="5"/>
      <c r="J1502" s="5"/>
      <c r="K1502" s="5"/>
      <c r="L1502" s="5"/>
      <c r="M1502" s="5"/>
      <c r="N1502" s="5"/>
      <c r="O1502" s="5"/>
      <c r="P1502" s="5"/>
      <c r="Q1502" s="5"/>
      <c r="R1502" s="5"/>
      <c r="S1502" s="5"/>
      <c r="T1502" s="5"/>
      <c r="U1502" s="5"/>
      <c r="V1502" s="5"/>
      <c r="W1502" s="5"/>
      <c r="X1502" s="5"/>
      <c r="Y1502" s="5"/>
      <c r="Z1502" s="5"/>
    </row>
    <row r="1503" spans="1:26" ht="15.6" x14ac:dyDescent="0.3">
      <c r="A1503" s="18" t="s">
        <v>3</v>
      </c>
      <c r="B1503" s="25" t="s">
        <v>1507</v>
      </c>
      <c r="C1503" s="2" t="str">
        <f ca="1">IFERROR(__xludf.DUMMYFUNCTION("GOOGLETRANSLATE(B1503, ""bn"", ""en"")"),"Although it is a festival of Buddhism, this day is a public holiday in Bangladesh as a country of religious harmony.")</f>
        <v>Although it is a festival of Buddhism, this day is a public holiday in Bangladesh as a country of religious harmony.</v>
      </c>
      <c r="D1503" s="5"/>
      <c r="E1503" s="5"/>
      <c r="F1503" s="5"/>
      <c r="G1503" s="5"/>
      <c r="H1503" s="5"/>
      <c r="I1503" s="5"/>
      <c r="J1503" s="5"/>
      <c r="K1503" s="5"/>
      <c r="L1503" s="5"/>
      <c r="M1503" s="5"/>
      <c r="N1503" s="5"/>
      <c r="O1503" s="5"/>
      <c r="P1503" s="5"/>
      <c r="Q1503" s="5"/>
      <c r="R1503" s="5"/>
      <c r="S1503" s="5"/>
      <c r="T1503" s="5"/>
      <c r="U1503" s="5"/>
      <c r="V1503" s="5"/>
      <c r="W1503" s="5"/>
      <c r="X1503" s="5"/>
      <c r="Y1503" s="5"/>
      <c r="Z1503" s="5"/>
    </row>
    <row r="1504" spans="1:26" ht="15.6" x14ac:dyDescent="0.3">
      <c r="A1504" s="18" t="s">
        <v>5</v>
      </c>
      <c r="B1504" s="24" t="s">
        <v>1508</v>
      </c>
      <c r="C1504" s="2" t="str">
        <f ca="1">IFERROR(__xludf.DUMMYFUNCTION("GOOGLETRANSLATE(B1504, ""bn"", ""en"")"),"45 people were killed in clashes between religious groups in Panchagarh. Although the police failed to control the situation, the government gave a message of peace and tolerance. Many minority families seek shelter for safety.")</f>
        <v>45 people were killed in clashes between religious groups in Panchagarh. Although the police failed to control the situation, the government gave a message of peace and tolerance. Many minority families seek shelter for safety.</v>
      </c>
      <c r="D1504" s="5"/>
      <c r="E1504" s="5"/>
      <c r="F1504" s="5"/>
      <c r="G1504" s="5"/>
      <c r="H1504" s="5"/>
      <c r="I1504" s="5"/>
      <c r="J1504" s="5"/>
      <c r="K1504" s="5"/>
      <c r="L1504" s="5"/>
      <c r="M1504" s="5"/>
      <c r="N1504" s="5"/>
      <c r="O1504" s="5"/>
      <c r="P1504" s="5"/>
      <c r="Q1504" s="5"/>
      <c r="R1504" s="5"/>
      <c r="S1504" s="5"/>
      <c r="T1504" s="5"/>
      <c r="U1504" s="5"/>
      <c r="V1504" s="5"/>
      <c r="W1504" s="5"/>
      <c r="X1504" s="5"/>
      <c r="Y1504" s="5"/>
      <c r="Z1504" s="5"/>
    </row>
    <row r="1505" spans="1:26" ht="15.6" x14ac:dyDescent="0.3">
      <c r="A1505" s="19" t="s">
        <v>23</v>
      </c>
      <c r="B1505" s="26" t="s">
        <v>1509</v>
      </c>
      <c r="C1505" s="2" t="str">
        <f ca="1">IFERROR(__xludf.DUMMYFUNCTION("GOOGLETRANSLATE(B1505, ""bn"", ""en"")"),"Apologetics are the biggest problem in Islam. If you are ashamed of religion, leave it.")</f>
        <v>Apologetics are the biggest problem in Islam. If you are ashamed of religion, leave it.</v>
      </c>
      <c r="D1505" s="7"/>
      <c r="E1505" s="7"/>
      <c r="F1505" s="5"/>
      <c r="G1505" s="5"/>
      <c r="H1505" s="5"/>
      <c r="I1505" s="5"/>
      <c r="J1505" s="5"/>
      <c r="K1505" s="5"/>
      <c r="L1505" s="5"/>
      <c r="M1505" s="5"/>
      <c r="N1505" s="5"/>
      <c r="O1505" s="5"/>
      <c r="P1505" s="5"/>
      <c r="Q1505" s="5"/>
      <c r="R1505" s="5"/>
      <c r="S1505" s="5"/>
      <c r="T1505" s="5"/>
      <c r="U1505" s="5"/>
      <c r="V1505" s="5"/>
      <c r="W1505" s="5"/>
      <c r="X1505" s="5"/>
      <c r="Y1505" s="5"/>
      <c r="Z1505" s="5"/>
    </row>
    <row r="1506" spans="1:26" ht="15.6" x14ac:dyDescent="0.3">
      <c r="A1506" s="18" t="s">
        <v>3</v>
      </c>
      <c r="B1506" s="25" t="s">
        <v>1510</v>
      </c>
      <c r="C1506" s="2" t="str">
        <f ca="1">IFERROR(__xludf.DUMMYFUNCTION("GOOGLETRANSLATE(B1506, ""bn"", ""en"")"),"When the month of Ramadan came, the Prophet (PBUH) used to say to the Companions, ""This month has been completed for you, and there is a night in it that is better than a thousand months.""")</f>
        <v>When the month of Ramadan came, the Prophet (PBUH) used to say to the Companions, "This month has been completed for you, and there is a night in it that is better than a thousand months."</v>
      </c>
      <c r="D1506" s="2"/>
      <c r="E1506" s="2"/>
      <c r="F1506" s="2"/>
      <c r="G1506" s="2"/>
      <c r="H1506" s="3"/>
      <c r="I1506" s="3"/>
      <c r="J1506" s="3"/>
      <c r="K1506" s="3"/>
      <c r="L1506" s="3"/>
      <c r="M1506" s="3"/>
      <c r="N1506" s="3"/>
      <c r="O1506" s="3"/>
      <c r="P1506" s="3"/>
      <c r="Q1506" s="3"/>
      <c r="R1506" s="3"/>
      <c r="S1506" s="3"/>
      <c r="T1506" s="3"/>
      <c r="U1506" s="3"/>
      <c r="V1506" s="3"/>
      <c r="W1506" s="3"/>
      <c r="X1506" s="3"/>
      <c r="Y1506" s="3"/>
      <c r="Z1506" s="3"/>
    </row>
    <row r="1507" spans="1:26" ht="15.6" x14ac:dyDescent="0.3">
      <c r="A1507" s="18" t="s">
        <v>5</v>
      </c>
      <c r="B1507" s="24" t="s">
        <v>1511</v>
      </c>
      <c r="C1507" s="2" t="str">
        <f ca="1">IFERROR(__xludf.DUMMYFUNCTION("GOOGLETRANSLATE(B1507, ""bn"", ""en"")"),"43 people were killed in clashes between religious groups in Naogaon. The police tried to control the situation but the violence did not stop. The government called upon everyone to exercise calm and religious responsibilities. Many minority families seek"&amp;" shelter for safety.")</f>
        <v>43 people were killed in clashes between religious groups in Naogaon. The police tried to control the situation but the violence did not stop. The government called upon everyone to exercise calm and religious responsibilities. Many minority families seek shelter for safety.</v>
      </c>
      <c r="D1507" s="5"/>
      <c r="E1507" s="5"/>
      <c r="F1507" s="5"/>
      <c r="G1507" s="5"/>
      <c r="H1507" s="5"/>
      <c r="I1507" s="5"/>
      <c r="J1507" s="5"/>
      <c r="K1507" s="5"/>
      <c r="L1507" s="5"/>
      <c r="M1507" s="5"/>
      <c r="N1507" s="5"/>
      <c r="O1507" s="5"/>
      <c r="P1507" s="5"/>
      <c r="Q1507" s="5"/>
      <c r="R1507" s="5"/>
      <c r="S1507" s="5"/>
      <c r="T1507" s="5"/>
      <c r="U1507" s="5"/>
      <c r="V1507" s="5"/>
      <c r="W1507" s="5"/>
      <c r="X1507" s="5"/>
      <c r="Y1507" s="5"/>
      <c r="Z1507" s="5"/>
    </row>
    <row r="1508" spans="1:26" ht="15.6" x14ac:dyDescent="0.3">
      <c r="A1508" s="18" t="s">
        <v>5</v>
      </c>
      <c r="B1508" s="25" t="s">
        <v>1512</v>
      </c>
      <c r="C1508" s="2" t="str">
        <f ca="1">IFERROR(__xludf.DUMMYFUNCTION("GOOGLETRANSLATE(B1508, ""bn"", ""en"")"),"Old Believers were persecuted and executed, it was ordered that even those who completely renounced their faith and were baptized in the state church were beaten without mercy. The writer Lomonosov opposed religious teachings, and on his initiative a scie"&amp;"ntific book against them was published. The book was destroyed, the Russian Synod insisted on burning Lomonosov's works and requested his punishment.")</f>
        <v>Old Believers were persecuted and executed, it was ordered that even those who completely renounced their faith and were baptized in the state church were beaten without mercy. The writer Lomonosov opposed religious teachings, and on his initiative a scientific book against them was published. The book was destroyed, the Russian Synod insisted on burning Lomonosov's works and requested his punishment.</v>
      </c>
      <c r="D1508" s="5"/>
      <c r="E1508" s="5"/>
      <c r="F1508" s="5"/>
      <c r="G1508" s="5"/>
      <c r="H1508" s="5"/>
      <c r="I1508" s="5"/>
      <c r="J1508" s="5"/>
      <c r="K1508" s="5"/>
      <c r="L1508" s="5"/>
      <c r="M1508" s="5"/>
      <c r="N1508" s="5"/>
      <c r="O1508" s="5"/>
      <c r="P1508" s="5"/>
      <c r="Q1508" s="5"/>
      <c r="R1508" s="5"/>
      <c r="S1508" s="5"/>
      <c r="T1508" s="5"/>
      <c r="U1508" s="5"/>
      <c r="V1508" s="5"/>
      <c r="W1508" s="5"/>
      <c r="X1508" s="5"/>
      <c r="Y1508" s="5"/>
      <c r="Z1508" s="5"/>
    </row>
    <row r="1509" spans="1:26" ht="15.6" x14ac:dyDescent="0.3">
      <c r="A1509" s="19" t="s">
        <v>23</v>
      </c>
      <c r="B1509" s="26" t="s">
        <v>1513</v>
      </c>
      <c r="C1509" s="2" t="str">
        <f ca="1">IFERROR(__xludf.DUMMYFUNCTION("GOOGLETRANSLATE(B1509, ""bn"", ""en"")"),"The main problem of all is really in Islam. Sometimes it feels very sad to see them. Do I really live in a Muslim country??")</f>
        <v>The main problem of all is really in Islam. Sometimes it feels very sad to see them. Do I really live in a Muslim country??</v>
      </c>
      <c r="D1509" s="5"/>
      <c r="E1509" s="5"/>
      <c r="F1509" s="5"/>
      <c r="G1509" s="5"/>
      <c r="H1509" s="5"/>
      <c r="I1509" s="5"/>
      <c r="J1509" s="5"/>
      <c r="K1509" s="5"/>
      <c r="L1509" s="5"/>
      <c r="M1509" s="5"/>
      <c r="N1509" s="5"/>
      <c r="O1509" s="5"/>
      <c r="P1509" s="5"/>
      <c r="Q1509" s="5"/>
      <c r="R1509" s="5"/>
      <c r="S1509" s="5"/>
      <c r="T1509" s="5"/>
      <c r="U1509" s="5"/>
      <c r="V1509" s="5"/>
      <c r="W1509" s="5"/>
      <c r="X1509" s="5"/>
      <c r="Y1509" s="5"/>
      <c r="Z1509" s="5"/>
    </row>
    <row r="1510" spans="1:26" ht="15.6" x14ac:dyDescent="0.3">
      <c r="A1510" s="19" t="s">
        <v>8</v>
      </c>
      <c r="B1510" s="26" t="s">
        <v>1514</v>
      </c>
      <c r="C1510" s="2" t="str">
        <f ca="1">IFERROR(__xludf.DUMMYFUNCTION("GOOGLETRANSLATE(B1510, ""bn"", ""en"")"),"Hindus were attacked from the rally. About three hundred houses, temples like Gaur temple, Nasirnagar, idols of gods and goddesses, furniture, pranami boxes were vandalized in eight Hindu districts.")</f>
        <v>Hindus were attacked from the rally. About three hundred houses, temples like Gaur temple, Nasirnagar, idols of gods and goddesses, furniture, pranami boxes were vandalized in eight Hindu districts.</v>
      </c>
      <c r="D1510" s="5"/>
      <c r="E1510" s="5"/>
      <c r="F1510" s="5"/>
      <c r="G1510" s="5"/>
      <c r="H1510" s="5"/>
      <c r="I1510" s="5"/>
      <c r="J1510" s="5"/>
      <c r="K1510" s="5"/>
      <c r="L1510" s="5"/>
      <c r="M1510" s="5"/>
      <c r="N1510" s="5"/>
      <c r="O1510" s="5"/>
      <c r="P1510" s="5"/>
      <c r="Q1510" s="5"/>
      <c r="R1510" s="5"/>
      <c r="S1510" s="5"/>
      <c r="T1510" s="5"/>
      <c r="U1510" s="5"/>
      <c r="V1510" s="5"/>
      <c r="W1510" s="5"/>
      <c r="X1510" s="5"/>
      <c r="Y1510" s="5"/>
      <c r="Z1510" s="5"/>
    </row>
    <row r="1511" spans="1:26" ht="15.6" x14ac:dyDescent="0.3">
      <c r="A1511" s="19" t="s">
        <v>5</v>
      </c>
      <c r="B1511" s="26" t="s">
        <v>1515</v>
      </c>
      <c r="C1511" s="2" t="str">
        <f ca="1">IFERROR(__xludf.DUMMYFUNCTION("GOOGLETRANSLATE(B1511, ""bn"", ""en"")"),"Conflicts over religious identity and expression are complex, related to war-conflict and discrimination, and the experience of racism and discrimination among Muslim migrants in Bangladesh.")</f>
        <v>Conflicts over religious identity and expression are complex, related to war-conflict and discrimination, and the experience of racism and discrimination among Muslim migrants in Bangladesh.</v>
      </c>
      <c r="D1511" s="7"/>
      <c r="E1511" s="7"/>
      <c r="F1511" s="7"/>
      <c r="G1511" s="7"/>
      <c r="H1511" s="7"/>
      <c r="I1511" s="7"/>
      <c r="J1511" s="7"/>
      <c r="K1511" s="7"/>
      <c r="L1511" s="7"/>
      <c r="M1511" s="5"/>
      <c r="N1511" s="5"/>
      <c r="O1511" s="5"/>
      <c r="P1511" s="5"/>
      <c r="Q1511" s="5"/>
      <c r="R1511" s="5"/>
      <c r="S1511" s="5"/>
      <c r="T1511" s="5"/>
      <c r="U1511" s="5"/>
      <c r="V1511" s="5"/>
      <c r="W1511" s="5"/>
      <c r="X1511" s="5"/>
      <c r="Y1511" s="5"/>
      <c r="Z1511" s="5"/>
    </row>
    <row r="1512" spans="1:26" ht="15.6" x14ac:dyDescent="0.3">
      <c r="A1512" s="19" t="s">
        <v>5</v>
      </c>
      <c r="B1512" s="26" t="s">
        <v>1516</v>
      </c>
      <c r="C1512" s="2" t="str">
        <f ca="1">IFERROR(__xludf.DUMMYFUNCTION("GOOGLETRANSLATE(B1512, ""bn"", ""en"")"),"In Garmukteswar in 1946 Hindus attacked Muslims at a religious fair and massacre occurred, police kept silent, 1,000-2,000 killed.")</f>
        <v>In Garmukteswar in 1946 Hindus attacked Muslims at a religious fair and massacre occurred, police kept silent, 1,000-2,000 killed.</v>
      </c>
      <c r="D1512" s="7"/>
      <c r="E1512" s="7"/>
      <c r="F1512" s="7"/>
      <c r="G1512" s="7"/>
      <c r="H1512" s="7"/>
      <c r="I1512" s="7"/>
      <c r="J1512" s="7"/>
      <c r="K1512" s="7"/>
      <c r="L1512" s="5"/>
      <c r="M1512" s="5"/>
      <c r="N1512" s="5"/>
      <c r="O1512" s="5"/>
      <c r="P1512" s="5"/>
      <c r="Q1512" s="5"/>
      <c r="R1512" s="5"/>
      <c r="S1512" s="5"/>
      <c r="T1512" s="5"/>
      <c r="U1512" s="5"/>
      <c r="V1512" s="5"/>
      <c r="W1512" s="5"/>
      <c r="X1512" s="5"/>
      <c r="Y1512" s="5"/>
      <c r="Z1512" s="5"/>
    </row>
    <row r="1513" spans="1:26" ht="15.6" x14ac:dyDescent="0.3">
      <c r="A1513" s="18" t="s">
        <v>3</v>
      </c>
      <c r="B1513" s="25" t="s">
        <v>1517</v>
      </c>
      <c r="C1513" s="2" t="str">
        <f ca="1">IFERROR(__xludf.DUMMYFUNCTION("GOOGLETRANSLATE(B1513, ""bn"", ""en"")"),"Different religions have concepts of heaven and hell, and the climate of a region can influence religious dress and burial practices, such as turbans or long beards in colder regions.")</f>
        <v>Different religions have concepts of heaven and hell, and the climate of a region can influence religious dress and burial practices, such as turbans or long beards in colder regions.</v>
      </c>
      <c r="D1513" s="5"/>
      <c r="E1513" s="5"/>
      <c r="F1513" s="5"/>
      <c r="G1513" s="5"/>
      <c r="H1513" s="5"/>
      <c r="I1513" s="5"/>
      <c r="J1513" s="5"/>
      <c r="K1513" s="5"/>
      <c r="L1513" s="5"/>
      <c r="M1513" s="5"/>
      <c r="N1513" s="5"/>
      <c r="O1513" s="5"/>
      <c r="P1513" s="5"/>
      <c r="Q1513" s="5"/>
      <c r="R1513" s="5"/>
      <c r="S1513" s="5"/>
      <c r="T1513" s="5"/>
      <c r="U1513" s="5"/>
      <c r="V1513" s="5"/>
      <c r="W1513" s="5"/>
      <c r="X1513" s="5"/>
      <c r="Y1513" s="5"/>
      <c r="Z1513" s="5"/>
    </row>
    <row r="1514" spans="1:26" ht="15.6" x14ac:dyDescent="0.3">
      <c r="A1514" s="18" t="s">
        <v>3</v>
      </c>
      <c r="B1514" s="24" t="s">
        <v>1518</v>
      </c>
      <c r="C1514" s="2" t="str">
        <f ca="1">IFERROR(__xludf.DUMMYFUNCTION("GOOGLETRANSLATE(B1514, ""bn"", ""en"")"),"In Christianity it is said, 'The door is not opened unless there is a knock', meaning that we have to put in the effort, the rest is God's will.")</f>
        <v>In Christianity it is said, 'The door is not opened unless there is a knock', meaning that we have to put in the effort, the rest is God's will.</v>
      </c>
      <c r="D1514" s="5"/>
      <c r="E1514" s="5"/>
      <c r="F1514" s="5"/>
      <c r="G1514" s="5"/>
      <c r="H1514" s="5"/>
      <c r="I1514" s="5"/>
      <c r="J1514" s="5"/>
      <c r="K1514" s="5"/>
      <c r="L1514" s="5"/>
      <c r="M1514" s="5"/>
      <c r="N1514" s="5"/>
      <c r="O1514" s="5"/>
      <c r="P1514" s="5"/>
      <c r="Q1514" s="5"/>
      <c r="R1514" s="5"/>
      <c r="S1514" s="5"/>
      <c r="T1514" s="5"/>
      <c r="U1514" s="5"/>
      <c r="V1514" s="5"/>
      <c r="W1514" s="5"/>
      <c r="X1514" s="5"/>
      <c r="Y1514" s="5"/>
      <c r="Z1514" s="5"/>
    </row>
    <row r="1515" spans="1:26" ht="15.6" x14ac:dyDescent="0.3">
      <c r="A1515" s="19" t="s">
        <v>8</v>
      </c>
      <c r="B1515" s="26" t="s">
        <v>1519</v>
      </c>
      <c r="C1515" s="2" t="str">
        <f ca="1">IFERROR(__xludf.DUMMYFUNCTION("GOOGLETRANSLATE(B1515, ""bn"", ""en"")"),"The attack took place in Charamba Union Bibila Shanti Vihar of Lohagara Upazila of Chittagong. A statue of Bihar, boundary wall and windows and doors were vandalized in the attack.")</f>
        <v>The attack took place in Charamba Union Bibila Shanti Vihar of Lohagara Upazila of Chittagong. A statue of Bihar, boundary wall and windows and doors were vandalized in the attack.</v>
      </c>
      <c r="D1515" s="5"/>
      <c r="E1515" s="5"/>
      <c r="F1515" s="5"/>
      <c r="G1515" s="5"/>
      <c r="H1515" s="5"/>
      <c r="I1515" s="5"/>
      <c r="J1515" s="5"/>
      <c r="K1515" s="5"/>
      <c r="L1515" s="5"/>
      <c r="M1515" s="5"/>
      <c r="N1515" s="5"/>
      <c r="O1515" s="5"/>
      <c r="P1515" s="5"/>
      <c r="Q1515" s="5"/>
      <c r="R1515" s="5"/>
      <c r="S1515" s="5"/>
      <c r="T1515" s="5"/>
      <c r="U1515" s="5"/>
      <c r="V1515" s="5"/>
      <c r="W1515" s="5"/>
      <c r="X1515" s="5"/>
      <c r="Y1515" s="5"/>
      <c r="Z1515" s="5"/>
    </row>
    <row r="1516" spans="1:26" ht="15.6" x14ac:dyDescent="0.3">
      <c r="A1516" s="18" t="s">
        <v>8</v>
      </c>
      <c r="B1516" s="25" t="s">
        <v>1520</v>
      </c>
      <c r="C1516" s="2" t="str">
        <f ca="1">IFERROR(__xludf.DUMMYFUNCTION("GOOGLETRANSLATE(B1516, ""bn"", ""en"")"),"A Radha Govinda temple was vandalized in Kuripika village of Patuakhali Sadar Upazila of Patuakhali district and a Madanmohan idol and 2.5 bhari gold ornaments were stolen.")</f>
        <v>A Radha Govinda temple was vandalized in Kuripika village of Patuakhali Sadar Upazila of Patuakhali district and a Madanmohan idol and 2.5 bhari gold ornaments were stolen.</v>
      </c>
      <c r="D1516" s="5"/>
      <c r="E1516" s="5"/>
      <c r="F1516" s="5"/>
      <c r="G1516" s="5"/>
      <c r="H1516" s="5"/>
      <c r="I1516" s="5"/>
      <c r="J1516" s="5"/>
      <c r="K1516" s="5"/>
      <c r="L1516" s="5"/>
      <c r="M1516" s="5"/>
      <c r="N1516" s="5"/>
      <c r="O1516" s="5"/>
      <c r="P1516" s="5"/>
      <c r="Q1516" s="5"/>
      <c r="R1516" s="5"/>
      <c r="S1516" s="5"/>
      <c r="T1516" s="5"/>
      <c r="U1516" s="5"/>
      <c r="V1516" s="5"/>
      <c r="W1516" s="5"/>
      <c r="X1516" s="5"/>
      <c r="Y1516" s="5"/>
      <c r="Z1516" s="5"/>
    </row>
    <row r="1517" spans="1:26" ht="15.6" x14ac:dyDescent="0.3">
      <c r="A1517" s="18" t="s">
        <v>5</v>
      </c>
      <c r="B1517" s="25" t="s">
        <v>1521</v>
      </c>
      <c r="C1517" s="2" t="str">
        <f ca="1">IFERROR(__xludf.DUMMYFUNCTION("GOOGLETRANSLATE(B1517, ""bn"", ""en"")"),"2013 was a festival of disappearances and murders of Awami League to disrupt the 2014 elections. We still do not know the exact information of how many people died in Hefazat rally.")</f>
        <v>2013 was a festival of disappearances and murders of Awami League to disrupt the 2014 elections. We still do not know the exact information of how many people died in Hefazat rally.</v>
      </c>
      <c r="D1517" s="2"/>
      <c r="E1517" s="2"/>
      <c r="F1517" s="2"/>
      <c r="G1517" s="2"/>
      <c r="H1517" s="5"/>
      <c r="I1517" s="5"/>
      <c r="J1517" s="5"/>
      <c r="K1517" s="5"/>
      <c r="L1517" s="5"/>
      <c r="M1517" s="5"/>
      <c r="N1517" s="5"/>
      <c r="O1517" s="5"/>
      <c r="P1517" s="5"/>
      <c r="Q1517" s="5"/>
      <c r="R1517" s="5"/>
      <c r="S1517" s="5"/>
      <c r="T1517" s="5"/>
      <c r="U1517" s="5"/>
      <c r="V1517" s="5"/>
      <c r="W1517" s="5"/>
      <c r="X1517" s="5"/>
      <c r="Y1517" s="5"/>
      <c r="Z1517" s="5"/>
    </row>
    <row r="1518" spans="1:26" ht="15.6" x14ac:dyDescent="0.3">
      <c r="A1518" s="18" t="s">
        <v>8</v>
      </c>
      <c r="B1518" s="25" t="s">
        <v>1522</v>
      </c>
      <c r="C1518" s="2" t="str">
        <f ca="1">IFERROR(__xludf.DUMMYFUNCTION("GOOGLETRANSLATE(B1518, ""bn"", ""en"")"),"Attacks on Hindus: Questions of Government Responsibility, Intelligence Failures and Sectarianism in Bangladesh")</f>
        <v>Attacks on Hindus: Questions of Government Responsibility, Intelligence Failures and Sectarianism in Bangladesh</v>
      </c>
      <c r="D1518" s="5"/>
      <c r="E1518" s="5"/>
      <c r="F1518" s="5"/>
      <c r="G1518" s="5"/>
      <c r="H1518" s="5"/>
      <c r="I1518" s="5"/>
      <c r="J1518" s="5"/>
      <c r="K1518" s="5"/>
      <c r="L1518" s="5"/>
      <c r="M1518" s="5"/>
      <c r="N1518" s="5"/>
      <c r="O1518" s="5"/>
      <c r="P1518" s="5"/>
      <c r="Q1518" s="5"/>
      <c r="R1518" s="5"/>
      <c r="S1518" s="5"/>
      <c r="T1518" s="5"/>
      <c r="U1518" s="5"/>
      <c r="V1518" s="5"/>
      <c r="W1518" s="5"/>
      <c r="X1518" s="5"/>
      <c r="Y1518" s="5"/>
      <c r="Z1518" s="5"/>
    </row>
    <row r="1519" spans="1:26" ht="15.6" x14ac:dyDescent="0.3">
      <c r="A1519" s="19" t="s">
        <v>5</v>
      </c>
      <c r="B1519" s="26" t="s">
        <v>1523</v>
      </c>
      <c r="C1519" s="2" t="str">
        <f ca="1">IFERROR(__xludf.DUMMYFUNCTION("GOOGLETRANSLATE(B1519, ""bn"", ""en"")"),"Hindus must be killed continuously and reduced in numbers.")</f>
        <v>Hindus must be killed continuously and reduced in numbers.</v>
      </c>
      <c r="D1519" s="5"/>
      <c r="E1519" s="5"/>
      <c r="F1519" s="5"/>
      <c r="G1519" s="5"/>
      <c r="H1519" s="5"/>
      <c r="I1519" s="5"/>
      <c r="J1519" s="5"/>
      <c r="K1519" s="5"/>
      <c r="L1519" s="5"/>
      <c r="M1519" s="5"/>
      <c r="N1519" s="5"/>
      <c r="O1519" s="5"/>
      <c r="P1519" s="5"/>
      <c r="Q1519" s="5"/>
      <c r="R1519" s="5"/>
      <c r="S1519" s="5"/>
      <c r="T1519" s="5"/>
      <c r="U1519" s="5"/>
      <c r="V1519" s="5"/>
      <c r="W1519" s="5"/>
      <c r="X1519" s="5"/>
      <c r="Y1519" s="5"/>
      <c r="Z1519" s="5"/>
    </row>
    <row r="1520" spans="1:26" ht="15.6" x14ac:dyDescent="0.3">
      <c r="A1520" s="18" t="s">
        <v>8</v>
      </c>
      <c r="B1520" s="24" t="s">
        <v>1524</v>
      </c>
      <c r="C1520" s="2" t="str">
        <f ca="1">IFERROR(__xludf.DUMMYFUNCTION("GOOGLETRANSLATE(B1520, ""bn"", ""en"")"),"In Pirojpur, Buddhist temple walls were breached and wooden religious statues were stolen and smashed, angering the local Buddhist community.")</f>
        <v>In Pirojpur, Buddhist temple walls were breached and wooden religious statues were stolen and smashed, angering the local Buddhist community.</v>
      </c>
      <c r="D1520" s="5"/>
      <c r="E1520" s="5"/>
      <c r="F1520" s="5"/>
      <c r="G1520" s="5"/>
      <c r="H1520" s="5"/>
      <c r="I1520" s="5"/>
      <c r="J1520" s="5"/>
      <c r="K1520" s="5"/>
      <c r="L1520" s="5"/>
      <c r="M1520" s="5"/>
      <c r="N1520" s="5"/>
      <c r="O1520" s="5"/>
      <c r="P1520" s="5"/>
      <c r="Q1520" s="5"/>
      <c r="R1520" s="5"/>
      <c r="S1520" s="5"/>
      <c r="T1520" s="5"/>
      <c r="U1520" s="5"/>
      <c r="V1520" s="5"/>
      <c r="W1520" s="5"/>
      <c r="X1520" s="5"/>
      <c r="Y1520" s="5"/>
      <c r="Z1520" s="5"/>
    </row>
    <row r="1521" spans="1:26" ht="15.6" x14ac:dyDescent="0.3">
      <c r="A1521" s="19" t="s">
        <v>3</v>
      </c>
      <c r="B1521" s="26" t="s">
        <v>1525</v>
      </c>
      <c r="C1521" s="2" t="str">
        <f ca="1">IFERROR(__xludf.DUMMYFUNCTION("GOOGLETRANSLATE(B1521, ""bn"", ""en"")"),"Going to the mosque is actually the elderly and those suffering from various diseases are more at risk of contracting the corona virus. They need to be safe. Scholars and scholars are also saying the same. The two are speaking separately with some excepti"&amp;"ons.")</f>
        <v>Going to the mosque is actually the elderly and those suffering from various diseases are more at risk of contracting the corona virus. They need to be safe. Scholars and scholars are also saying the same. The two are speaking separately with some exceptions.</v>
      </c>
      <c r="D1521" s="5"/>
      <c r="E1521" s="5"/>
      <c r="F1521" s="5"/>
      <c r="G1521" s="5"/>
      <c r="H1521" s="5"/>
      <c r="I1521" s="5"/>
      <c r="J1521" s="5"/>
      <c r="K1521" s="5"/>
      <c r="L1521" s="5"/>
      <c r="M1521" s="5"/>
      <c r="N1521" s="5"/>
      <c r="O1521" s="5"/>
      <c r="P1521" s="5"/>
      <c r="Q1521" s="5"/>
      <c r="R1521" s="5"/>
      <c r="S1521" s="5"/>
      <c r="T1521" s="5"/>
      <c r="U1521" s="5"/>
      <c r="V1521" s="5"/>
      <c r="W1521" s="5"/>
      <c r="X1521" s="5"/>
      <c r="Y1521" s="5"/>
      <c r="Z1521" s="5"/>
    </row>
    <row r="1522" spans="1:26" ht="15.6" x14ac:dyDescent="0.3">
      <c r="A1522" s="18" t="s">
        <v>23</v>
      </c>
      <c r="B1522" s="24" t="s">
        <v>704</v>
      </c>
      <c r="C1522" s="2" t="str">
        <f ca="1">IFERROR(__xludf.DUMMYFUNCTION("GOOGLETRANSLATE(B1522, ""bn"", ""en"")"),"Muslim extremists consider their religion superior to other religions and despise others.")</f>
        <v>Muslim extremists consider their religion superior to other religions and despise others.</v>
      </c>
      <c r="D1522" s="5"/>
      <c r="E1522" s="5"/>
      <c r="F1522" s="5"/>
      <c r="G1522" s="5"/>
      <c r="H1522" s="5"/>
      <c r="I1522" s="5"/>
      <c r="J1522" s="5"/>
      <c r="K1522" s="5"/>
      <c r="L1522" s="5"/>
      <c r="M1522" s="5"/>
      <c r="N1522" s="5"/>
      <c r="O1522" s="5"/>
      <c r="P1522" s="5"/>
      <c r="Q1522" s="5"/>
      <c r="R1522" s="5"/>
      <c r="S1522" s="5"/>
      <c r="T1522" s="5"/>
      <c r="U1522" s="5"/>
      <c r="V1522" s="5"/>
      <c r="W1522" s="5"/>
      <c r="X1522" s="5"/>
      <c r="Y1522" s="5"/>
      <c r="Z1522" s="5"/>
    </row>
    <row r="1523" spans="1:26" ht="15.6" x14ac:dyDescent="0.3">
      <c r="A1523" s="18" t="s">
        <v>3</v>
      </c>
      <c r="B1523" s="25" t="s">
        <v>1526</v>
      </c>
      <c r="C1523" s="2" t="str">
        <f ca="1">IFERROR(__xludf.DUMMYFUNCTION("GOOGLETRANSLATE(B1523, ""bn"", ""en"")"),"All religions are based on peace and human values, which make the society more beautiful.")</f>
        <v>All religions are based on peace and human values, which make the society more beautiful.</v>
      </c>
      <c r="D1523" s="2"/>
      <c r="E1523" s="2"/>
      <c r="F1523" s="2"/>
      <c r="G1523" s="2"/>
      <c r="H1523" s="5"/>
      <c r="I1523" s="5"/>
      <c r="J1523" s="5"/>
      <c r="K1523" s="5"/>
      <c r="L1523" s="5"/>
      <c r="M1523" s="5"/>
      <c r="N1523" s="5"/>
      <c r="O1523" s="5"/>
      <c r="P1523" s="5"/>
      <c r="Q1523" s="5"/>
      <c r="R1523" s="5"/>
      <c r="S1523" s="5"/>
      <c r="T1523" s="5"/>
      <c r="U1523" s="5"/>
      <c r="V1523" s="5"/>
      <c r="W1523" s="5"/>
      <c r="X1523" s="5"/>
      <c r="Y1523" s="5"/>
      <c r="Z1523" s="5"/>
    </row>
    <row r="1524" spans="1:26" ht="15.6" x14ac:dyDescent="0.3">
      <c r="A1524" s="18" t="s">
        <v>8</v>
      </c>
      <c r="B1524" s="25" t="s">
        <v>1527</v>
      </c>
      <c r="C1524" s="2" t="str">
        <f ca="1">IFERROR(__xludf.DUMMYFUNCTION("GOOGLETRANSLATE(B1524, ""bn"", ""en"")"),"In Thakurgaon, 12 Hindu temples were attacked overnight and 14 idols of deities were smashed, in what is believed to be a brutal act of terrorism motivated by religious hatred.")</f>
        <v>In Thakurgaon, 12 Hindu temples were attacked overnight and 14 idols of deities were smashed, in what is believed to be a brutal act of terrorism motivated by religious hatred.</v>
      </c>
      <c r="D1524" s="5"/>
      <c r="E1524" s="5"/>
      <c r="F1524" s="5"/>
      <c r="G1524" s="5"/>
      <c r="H1524" s="5"/>
      <c r="I1524" s="5"/>
      <c r="J1524" s="5"/>
      <c r="K1524" s="5"/>
      <c r="L1524" s="5"/>
      <c r="M1524" s="5"/>
      <c r="N1524" s="5"/>
      <c r="O1524" s="5"/>
      <c r="P1524" s="5"/>
      <c r="Q1524" s="5"/>
      <c r="R1524" s="5"/>
      <c r="S1524" s="5"/>
      <c r="T1524" s="5"/>
      <c r="U1524" s="5"/>
      <c r="V1524" s="5"/>
      <c r="W1524" s="5"/>
      <c r="X1524" s="5"/>
      <c r="Y1524" s="5"/>
      <c r="Z1524" s="5"/>
    </row>
    <row r="1525" spans="1:26" ht="15.6" x14ac:dyDescent="0.3">
      <c r="A1525" s="19" t="s">
        <v>3</v>
      </c>
      <c r="B1525" s="26" t="s">
        <v>1528</v>
      </c>
      <c r="C1525" s="2" t="str">
        <f ca="1">IFERROR(__xludf.DUMMYFUNCTION("GOOGLETRANSLATE(B1525, ""bn"", ""en"")"),"No intercession is needed for worship or support.")</f>
        <v>No intercession is needed for worship or support.</v>
      </c>
      <c r="D1525" s="5"/>
      <c r="E1525" s="5"/>
      <c r="F1525" s="5"/>
      <c r="G1525" s="5"/>
      <c r="H1525" s="5"/>
      <c r="I1525" s="5"/>
      <c r="J1525" s="5"/>
      <c r="K1525" s="5"/>
      <c r="L1525" s="5"/>
      <c r="M1525" s="5"/>
      <c r="N1525" s="5"/>
      <c r="O1525" s="5"/>
      <c r="P1525" s="5"/>
      <c r="Q1525" s="5"/>
      <c r="R1525" s="5"/>
      <c r="S1525" s="5"/>
      <c r="T1525" s="5"/>
      <c r="U1525" s="5"/>
      <c r="V1525" s="5"/>
      <c r="W1525" s="5"/>
      <c r="X1525" s="5"/>
      <c r="Y1525" s="5"/>
      <c r="Z1525" s="5"/>
    </row>
    <row r="1526" spans="1:26" ht="15.6" x14ac:dyDescent="0.3">
      <c r="A1526" s="18" t="s">
        <v>3</v>
      </c>
      <c r="B1526" s="25" t="s">
        <v>1529</v>
      </c>
      <c r="C1526" s="2" t="str">
        <f ca="1">IFERROR(__xludf.DUMMYFUNCTION("GOOGLETRANSLATE(B1526, ""bn"", ""en"")"),"Alhamdulillah, the initiative to implement this law is welcome. On behalf of all the Muslims of Bangladesh, we thank the honorable judges and lawyers.")</f>
        <v>Alhamdulillah, the initiative to implement this law is welcome. On behalf of all the Muslims of Bangladesh, we thank the honorable judges and lawyers.</v>
      </c>
      <c r="D1526" s="2"/>
      <c r="E1526" s="2"/>
      <c r="F1526" s="2"/>
      <c r="G1526" s="2"/>
      <c r="H1526" s="3"/>
      <c r="I1526" s="3"/>
      <c r="J1526" s="3"/>
      <c r="K1526" s="3"/>
      <c r="L1526" s="3"/>
      <c r="M1526" s="3"/>
      <c r="N1526" s="3"/>
      <c r="O1526" s="3"/>
      <c r="P1526" s="3"/>
      <c r="Q1526" s="3"/>
      <c r="R1526" s="3"/>
      <c r="S1526" s="3"/>
      <c r="T1526" s="3"/>
      <c r="U1526" s="3"/>
      <c r="V1526" s="3"/>
      <c r="W1526" s="3"/>
      <c r="X1526" s="3"/>
      <c r="Y1526" s="3"/>
      <c r="Z1526" s="3"/>
    </row>
    <row r="1527" spans="1:26" ht="15.6" x14ac:dyDescent="0.3">
      <c r="A1527" s="18" t="s">
        <v>3</v>
      </c>
      <c r="B1527" s="25" t="s">
        <v>1530</v>
      </c>
      <c r="C1527" s="2" t="str">
        <f ca="1">IFERROR(__xludf.DUMMYFUNCTION("GOOGLETRANSLATE(B1527, ""bn"", ""en"")"),"There is no one above God, one and only God. God is formless. God has no birth, no death, He is eternal, eternal, born, deathless and omnipresent.")</f>
        <v>There is no one above God, one and only God. God is formless. God has no birth, no death, He is eternal, eternal, born, deathless and omnipresent.</v>
      </c>
      <c r="D1527" s="2"/>
      <c r="E1527" s="2"/>
      <c r="F1527" s="2"/>
      <c r="G1527" s="2"/>
      <c r="H1527" s="3"/>
      <c r="I1527" s="3"/>
      <c r="J1527" s="3"/>
      <c r="K1527" s="3"/>
      <c r="L1527" s="3"/>
      <c r="M1527" s="3"/>
      <c r="N1527" s="3"/>
      <c r="O1527" s="3"/>
      <c r="P1527" s="3"/>
      <c r="Q1527" s="3"/>
      <c r="R1527" s="3"/>
      <c r="S1527" s="3"/>
      <c r="T1527" s="3"/>
      <c r="U1527" s="3"/>
      <c r="V1527" s="3"/>
      <c r="W1527" s="3"/>
      <c r="X1527" s="3"/>
      <c r="Y1527" s="3"/>
      <c r="Z1527" s="3"/>
    </row>
    <row r="1528" spans="1:26" ht="15.6" x14ac:dyDescent="0.3">
      <c r="A1528" s="18" t="s">
        <v>23</v>
      </c>
      <c r="B1528" s="25" t="s">
        <v>1531</v>
      </c>
      <c r="C1528" s="2" t="str">
        <f ca="1">IFERROR(__xludf.DUMMYFUNCTION("GOOGLETRANSLATE(B1528, ""bn"", ""en"")"),"And listen to the way in Bangladesh the persecution of minority traditional people is the sign of your mentality. You call Maqbool Fida Hussain an artist and kill an artist.")</f>
        <v>And listen to the way in Bangladesh the persecution of minority traditional people is the sign of your mentality. You call Maqbool Fida Hussain an artist and kill an artist.</v>
      </c>
      <c r="D1528" s="2"/>
      <c r="E1528" s="2"/>
      <c r="F1528" s="2"/>
      <c r="G1528" s="2"/>
      <c r="H1528" s="5"/>
      <c r="I1528" s="5"/>
      <c r="J1528" s="5"/>
      <c r="K1528" s="5"/>
      <c r="L1528" s="5"/>
      <c r="M1528" s="5"/>
      <c r="N1528" s="5"/>
      <c r="O1528" s="5"/>
      <c r="P1528" s="5"/>
      <c r="Q1528" s="5"/>
      <c r="R1528" s="5"/>
      <c r="S1528" s="5"/>
      <c r="T1528" s="5"/>
      <c r="U1528" s="5"/>
      <c r="V1528" s="5"/>
      <c r="W1528" s="5"/>
      <c r="X1528" s="5"/>
      <c r="Y1528" s="5"/>
      <c r="Z1528" s="5"/>
    </row>
    <row r="1529" spans="1:26" ht="15.6" x14ac:dyDescent="0.3">
      <c r="A1529" s="18" t="s">
        <v>8</v>
      </c>
      <c r="B1529" s="25" t="s">
        <v>1532</v>
      </c>
      <c r="C1529" s="2" t="str">
        <f ca="1">IFERROR(__xludf.DUMMYFUNCTION("GOOGLETRANSLATE(B1529, ""bn"", ""en"")"),"Shafiqul Islam, OC of Mehendiganj police station, said that there was no vandalism, it was opened. Dilip Dhali, president of the temple committee, said that the pottery artists worked till 1:30 am on that day. After that, the artists went to sleep by clin"&amp;"ging to the tin fence of the temple. Came in the morning and saw that the idol had been vandalized.")</f>
        <v>Shafiqul Islam, OC of Mehendiganj police station, said that there was no vandalism, it was opened. Dilip Dhali, president of the temple committee, said that the pottery artists worked till 1:30 am on that day. After that, the artists went to sleep by clinging to the tin fence of the temple. Came in the morning and saw that the idol had been vandalized.</v>
      </c>
      <c r="D1529" s="7"/>
      <c r="E1529" s="7"/>
      <c r="F1529" s="5"/>
      <c r="G1529" s="5"/>
      <c r="H1529" s="5"/>
      <c r="I1529" s="5"/>
      <c r="J1529" s="5"/>
      <c r="K1529" s="5"/>
      <c r="L1529" s="5"/>
      <c r="M1529" s="5"/>
      <c r="N1529" s="5"/>
      <c r="O1529" s="5"/>
      <c r="P1529" s="5"/>
      <c r="Q1529" s="5"/>
      <c r="R1529" s="5"/>
      <c r="S1529" s="5"/>
      <c r="T1529" s="5"/>
      <c r="U1529" s="5"/>
      <c r="V1529" s="5"/>
      <c r="W1529" s="5"/>
      <c r="X1529" s="5"/>
      <c r="Y1529" s="5"/>
      <c r="Z1529" s="5"/>
    </row>
    <row r="1530" spans="1:26" ht="15.6" x14ac:dyDescent="0.3">
      <c r="A1530" s="19" t="s">
        <v>3</v>
      </c>
      <c r="B1530" s="26" t="s">
        <v>1533</v>
      </c>
      <c r="C1530" s="2" t="str">
        <f ca="1">IFERROR(__xludf.DUMMYFUNCTION("GOOGLETRANSLATE(B1530, ""bn"", ""en"")"),"Let their creator judge them. Those who sit to stir the soft hearts of people.")</f>
        <v>Let their creator judge them. Those who sit to stir the soft hearts of people.</v>
      </c>
      <c r="D1530" s="5"/>
      <c r="E1530" s="5"/>
      <c r="F1530" s="5"/>
      <c r="G1530" s="5"/>
      <c r="H1530" s="5"/>
      <c r="I1530" s="5"/>
      <c r="J1530" s="5"/>
      <c r="K1530" s="5"/>
      <c r="L1530" s="5"/>
      <c r="M1530" s="5"/>
      <c r="N1530" s="5"/>
      <c r="O1530" s="5"/>
      <c r="P1530" s="5"/>
      <c r="Q1530" s="5"/>
      <c r="R1530" s="5"/>
      <c r="S1530" s="5"/>
      <c r="T1530" s="5"/>
      <c r="U1530" s="5"/>
      <c r="V1530" s="5"/>
      <c r="W1530" s="5"/>
      <c r="X1530" s="5"/>
      <c r="Y1530" s="5"/>
      <c r="Z1530" s="5"/>
    </row>
    <row r="1531" spans="1:26" ht="15.6" x14ac:dyDescent="0.3">
      <c r="A1531" s="18" t="s">
        <v>8</v>
      </c>
      <c r="B1531" s="24" t="s">
        <v>1534</v>
      </c>
      <c r="C1531" s="2" t="str">
        <f ca="1">IFERROR(__xludf.DUMMYFUNCTION("GOOGLETRANSLATE(B1531, ""bn"", ""en"")"),"On 11 July 2024 miscreants attacked the old Radhamadhav temple at Lohagara in Narail and smashed all the idols inside.")</f>
        <v>On 11 July 2024 miscreants attacked the old Radhamadhav temple at Lohagara in Narail and smashed all the idols inside.</v>
      </c>
      <c r="D1531" s="5"/>
      <c r="E1531" s="5"/>
      <c r="F1531" s="5"/>
      <c r="G1531" s="5"/>
      <c r="H1531" s="5"/>
      <c r="I1531" s="5"/>
      <c r="J1531" s="5"/>
      <c r="K1531" s="5"/>
      <c r="L1531" s="5"/>
      <c r="M1531" s="5"/>
      <c r="N1531" s="5"/>
      <c r="O1531" s="5"/>
      <c r="P1531" s="5"/>
      <c r="Q1531" s="5"/>
      <c r="R1531" s="5"/>
      <c r="S1531" s="5"/>
      <c r="T1531" s="5"/>
      <c r="U1531" s="5"/>
      <c r="V1531" s="5"/>
      <c r="W1531" s="5"/>
      <c r="X1531" s="5"/>
      <c r="Y1531" s="5"/>
      <c r="Z1531" s="5"/>
    </row>
    <row r="1532" spans="1:26" ht="15.6" x14ac:dyDescent="0.3">
      <c r="A1532" s="19" t="s">
        <v>5</v>
      </c>
      <c r="B1532" s="26" t="s">
        <v>1535</v>
      </c>
      <c r="C1532" s="2" t="str">
        <f ca="1">IFERROR(__xludf.DUMMYFUNCTION("GOOGLETRANSLATE(B1532, ""bn"", ""en"")"),"Still, if you listened to Wednesday's radio program, you must have heard the report about those who died in the Chandpur temple attack.")</f>
        <v>Still, if you listened to Wednesday's radio program, you must have heard the report about those who died in the Chandpur temple attack.</v>
      </c>
      <c r="D1532" s="5"/>
      <c r="E1532" s="5"/>
      <c r="F1532" s="5"/>
      <c r="G1532" s="5"/>
      <c r="H1532" s="5"/>
      <c r="I1532" s="5"/>
      <c r="J1532" s="5"/>
      <c r="K1532" s="5"/>
      <c r="L1532" s="5"/>
      <c r="M1532" s="5"/>
      <c r="N1532" s="5"/>
      <c r="O1532" s="5"/>
      <c r="P1532" s="5"/>
      <c r="Q1532" s="5"/>
      <c r="R1532" s="5"/>
      <c r="S1532" s="5"/>
      <c r="T1532" s="5"/>
      <c r="U1532" s="5"/>
      <c r="V1532" s="5"/>
      <c r="W1532" s="5"/>
      <c r="X1532" s="5"/>
      <c r="Y1532" s="5"/>
      <c r="Z1532" s="5"/>
    </row>
    <row r="1533" spans="1:26" ht="15.6" x14ac:dyDescent="0.3">
      <c r="A1533" s="18" t="s">
        <v>5</v>
      </c>
      <c r="B1533" s="25" t="s">
        <v>1536</v>
      </c>
      <c r="C1533" s="2" t="str">
        <f ca="1">IFERROR(__xludf.DUMMYFUNCTION("GOOGLETRANSLATE(B1533, ""bn"", ""en"")"),"Two days ago, a 50-year-old man named Shahidunnabi Jewel was beaten and burnt to death on the charge of blasphemy in Patgram of Lalmonirhat district.")</f>
        <v>Two days ago, a 50-year-old man named Shahidunnabi Jewel was beaten and burnt to death on the charge of blasphemy in Patgram of Lalmonirhat district.</v>
      </c>
      <c r="D1533" s="5"/>
      <c r="E1533" s="5"/>
      <c r="F1533" s="5"/>
      <c r="G1533" s="5"/>
      <c r="H1533" s="5"/>
      <c r="I1533" s="5"/>
      <c r="J1533" s="5"/>
      <c r="K1533" s="5"/>
      <c r="L1533" s="5"/>
      <c r="M1533" s="5"/>
      <c r="N1533" s="5"/>
      <c r="O1533" s="5"/>
      <c r="P1533" s="5"/>
      <c r="Q1533" s="5"/>
      <c r="R1533" s="5"/>
      <c r="S1533" s="5"/>
      <c r="T1533" s="5"/>
      <c r="U1533" s="5"/>
      <c r="V1533" s="5"/>
      <c r="W1533" s="5"/>
      <c r="X1533" s="5"/>
      <c r="Y1533" s="5"/>
      <c r="Z1533" s="5"/>
    </row>
    <row r="1534" spans="1:26" ht="15.6" x14ac:dyDescent="0.3">
      <c r="A1534" s="18" t="s">
        <v>23</v>
      </c>
      <c r="B1534" s="25" t="s">
        <v>1537</v>
      </c>
      <c r="C1534" s="2" t="str">
        <f ca="1">IFERROR(__xludf.DUMMYFUNCTION("GOOGLETRANSLATE(B1534, ""bn"", ""en"")"),"National politics is now a topic of discussion 'Sanatan Dharma'. Udayanidhi Stalin, son of DMK leader MK Stalin's son Udayanidhi Stalin, is in the tumultuous national politics. Tamil Nadu Sports and Youth Welfare Minister Udayanidhi Stalin compared 'Sanat"&amp;"ana Dharma' to dengue malaria and called for the eradication of the religion.")</f>
        <v>National politics is now a topic of discussion 'Sanatan Dharma'. Udayanidhi Stalin, son of DMK leader MK Stalin's son Udayanidhi Stalin, is in the tumultuous national politics. Tamil Nadu Sports and Youth Welfare Minister Udayanidhi Stalin compared 'Sanatana Dharma' to dengue malaria and called for the eradication of the religion.</v>
      </c>
      <c r="D1534" s="5"/>
      <c r="E1534" s="5"/>
      <c r="F1534" s="5"/>
      <c r="G1534" s="5"/>
      <c r="H1534" s="5"/>
      <c r="I1534" s="5"/>
      <c r="J1534" s="5"/>
      <c r="K1534" s="5"/>
      <c r="L1534" s="5"/>
      <c r="M1534" s="5"/>
      <c r="N1534" s="5"/>
      <c r="O1534" s="5"/>
      <c r="P1534" s="5"/>
      <c r="Q1534" s="5"/>
      <c r="R1534" s="5"/>
      <c r="S1534" s="5"/>
      <c r="T1534" s="5"/>
      <c r="U1534" s="5"/>
      <c r="V1534" s="5"/>
      <c r="W1534" s="5"/>
      <c r="X1534" s="5"/>
      <c r="Y1534" s="5"/>
      <c r="Z1534" s="5"/>
    </row>
    <row r="1535" spans="1:26" ht="15.6" x14ac:dyDescent="0.3">
      <c r="A1535" s="18" t="s">
        <v>5</v>
      </c>
      <c r="B1535" s="24" t="s">
        <v>1538</v>
      </c>
      <c r="C1535" s="2" t="str">
        <f ca="1">IFERROR(__xludf.DUMMYFUNCTION("GOOGLETRANSLATE(B1535, ""bn"", ""en"")"),"45 people were killed in clashes between religious groups in Kishoreganj. Although the police failed to control the situation, the government called for peace and religious tolerance. Many minority families leave the village for security reasons.")</f>
        <v>45 people were killed in clashes between religious groups in Kishoreganj. Although the police failed to control the situation, the government called for peace and religious tolerance. Many minority families leave the village for security reasons.</v>
      </c>
      <c r="D1535" s="5"/>
      <c r="E1535" s="5"/>
      <c r="F1535" s="5"/>
      <c r="G1535" s="5"/>
      <c r="H1535" s="5"/>
      <c r="I1535" s="5"/>
      <c r="J1535" s="5"/>
      <c r="K1535" s="5"/>
      <c r="L1535" s="5"/>
      <c r="M1535" s="5"/>
      <c r="N1535" s="5"/>
      <c r="O1535" s="5"/>
      <c r="P1535" s="5"/>
      <c r="Q1535" s="5"/>
      <c r="R1535" s="5"/>
      <c r="S1535" s="5"/>
      <c r="T1535" s="5"/>
      <c r="U1535" s="5"/>
      <c r="V1535" s="5"/>
      <c r="W1535" s="5"/>
      <c r="X1535" s="5"/>
      <c r="Y1535" s="5"/>
      <c r="Z1535" s="5"/>
    </row>
    <row r="1536" spans="1:26" ht="15.6" x14ac:dyDescent="0.3">
      <c r="A1536" s="18" t="s">
        <v>8</v>
      </c>
      <c r="B1536" s="25" t="s">
        <v>1539</v>
      </c>
      <c r="C1536" s="2" t="str">
        <f ca="1">IFERROR(__xludf.DUMMYFUNCTION("GOOGLETRANSLATE(B1536, ""bn"", ""en"")"),"Another incident of idol vandalism took place on October 11 in Rastampur village of Ashulia, Dhaka. On the same day, an attack was reported on Tipu Sultan Road. The worshipers could not enter the Sankhanidhi temple with the idol. Devotees sit on the stree"&amp;"ts with Durga idols. With local extremists terrorizing worshipers unable to worship at the historic temple, devotees were given a temporary place to worship, where the idols were shifted.")</f>
        <v>Another incident of idol vandalism took place on October 11 in Rastampur village of Ashulia, Dhaka. On the same day, an attack was reported on Tipu Sultan Road. The worshipers could not enter the Sankhanidhi temple with the idol. Devotees sit on the streets with Durga idols. With local extremists terrorizing worshipers unable to worship at the historic temple, devotees were given a temporary place to worship, where the idols were shifted.</v>
      </c>
      <c r="D1536" s="5"/>
      <c r="E1536" s="5"/>
      <c r="F1536" s="5"/>
      <c r="G1536" s="5"/>
      <c r="H1536" s="5"/>
      <c r="I1536" s="5"/>
      <c r="J1536" s="5"/>
      <c r="K1536" s="5"/>
      <c r="L1536" s="5"/>
      <c r="M1536" s="5"/>
      <c r="N1536" s="5"/>
      <c r="O1536" s="5"/>
      <c r="P1536" s="5"/>
      <c r="Q1536" s="5"/>
      <c r="R1536" s="5"/>
      <c r="S1536" s="5"/>
      <c r="T1536" s="5"/>
      <c r="U1536" s="5"/>
      <c r="V1536" s="5"/>
      <c r="W1536" s="5"/>
      <c r="X1536" s="5"/>
      <c r="Y1536" s="5"/>
      <c r="Z1536" s="5"/>
    </row>
    <row r="1537" spans="1:26" ht="15.6" x14ac:dyDescent="0.3">
      <c r="A1537" s="18" t="s">
        <v>8</v>
      </c>
      <c r="B1537" s="25" t="s">
        <v>1540</v>
      </c>
      <c r="C1537" s="2" t="str">
        <f ca="1">IFERROR(__xludf.DUMMYFUNCTION("GOOGLETRANSLATE(B1537, ""bn"", ""en"")"),"On May 22, 1987, during a Hindu-Muslim riot in an area of ​​Bangladesh, 42 Muslim youths were detained and disappeared by the security forces.")</f>
        <v>On May 22, 1987, during a Hindu-Muslim riot in an area of ​​Bangladesh, 42 Muslim youths were detained and disappeared by the security forces.</v>
      </c>
      <c r="D1537" s="2"/>
      <c r="E1537" s="2"/>
      <c r="F1537" s="2"/>
      <c r="G1537" s="2"/>
      <c r="H1537" s="3"/>
      <c r="I1537" s="3"/>
      <c r="J1537" s="3"/>
      <c r="K1537" s="3"/>
      <c r="L1537" s="3"/>
      <c r="M1537" s="3"/>
      <c r="N1537" s="3"/>
      <c r="O1537" s="3"/>
      <c r="P1537" s="3"/>
      <c r="Q1537" s="3"/>
      <c r="R1537" s="3"/>
      <c r="S1537" s="3"/>
      <c r="T1537" s="3"/>
      <c r="U1537" s="3"/>
      <c r="V1537" s="3"/>
      <c r="W1537" s="3"/>
      <c r="X1537" s="3"/>
      <c r="Y1537" s="3"/>
      <c r="Z1537" s="3"/>
    </row>
    <row r="1538" spans="1:26" ht="15.6" x14ac:dyDescent="0.3">
      <c r="A1538" s="18" t="s">
        <v>8</v>
      </c>
      <c r="B1538" s="25" t="s">
        <v>1541</v>
      </c>
      <c r="C1538" s="2" t="str">
        <f ca="1">IFERROR(__xludf.DUMMYFUNCTION("GOOGLETRANSLATE(B1538, ""bn"", ""en"")"),"During the Hindu-Muslim conflict, women, men and children fled their homes. The miscreants set fire to the house and went on rampage")</f>
        <v>During the Hindu-Muslim conflict, women, men and children fled their homes. The miscreants set fire to the house and went on rampage</v>
      </c>
      <c r="D1538" s="2"/>
      <c r="E1538" s="2"/>
      <c r="F1538" s="2"/>
      <c r="G1538" s="2"/>
      <c r="H1538" s="5"/>
      <c r="I1538" s="5"/>
      <c r="J1538" s="5"/>
      <c r="K1538" s="5"/>
      <c r="L1538" s="5"/>
      <c r="M1538" s="5"/>
      <c r="N1538" s="5"/>
      <c r="O1538" s="5"/>
      <c r="P1538" s="5"/>
      <c r="Q1538" s="5"/>
      <c r="R1538" s="5"/>
      <c r="S1538" s="5"/>
      <c r="T1538" s="5"/>
      <c r="U1538" s="5"/>
      <c r="V1538" s="5"/>
      <c r="W1538" s="5"/>
      <c r="X1538" s="5"/>
      <c r="Y1538" s="5"/>
      <c r="Z1538" s="5"/>
    </row>
    <row r="1539" spans="1:26" ht="15.6" x14ac:dyDescent="0.3">
      <c r="A1539" s="18" t="s">
        <v>8</v>
      </c>
      <c r="B1539" s="25" t="s">
        <v>1542</v>
      </c>
      <c r="C1539" s="2" t="str">
        <f ca="1">IFERROR(__xludf.DUMMYFUNCTION("GOOGLETRANSLATE(B1539, ""bn"", ""en"")"),"Shortly after midnight on March 2, around 30-40 miscreants attacked Hindus at their house in Uttarganj Maheshpur village of Dinajpur Sadar Upazila in Dinajpur district, abusing and threatening them.")</f>
        <v>Shortly after midnight on March 2, around 30-40 miscreants attacked Hindus at their house in Uttarganj Maheshpur village of Dinajpur Sadar Upazila in Dinajpur district, abusing and threatening them.</v>
      </c>
      <c r="D1539" s="2"/>
      <c r="E1539" s="2"/>
      <c r="F1539" s="2"/>
      <c r="G1539" s="2"/>
      <c r="H1539" s="3"/>
      <c r="I1539" s="3"/>
      <c r="J1539" s="3"/>
      <c r="K1539" s="3"/>
      <c r="L1539" s="3"/>
      <c r="M1539" s="3"/>
      <c r="N1539" s="3"/>
      <c r="O1539" s="3"/>
      <c r="P1539" s="3"/>
      <c r="Q1539" s="3"/>
      <c r="R1539" s="3"/>
      <c r="S1539" s="3"/>
      <c r="T1539" s="3"/>
      <c r="U1539" s="3"/>
      <c r="V1539" s="3"/>
      <c r="W1539" s="3"/>
      <c r="X1539" s="3"/>
      <c r="Y1539" s="3"/>
      <c r="Z1539" s="3"/>
    </row>
    <row r="1540" spans="1:26" ht="15.6" x14ac:dyDescent="0.3">
      <c r="A1540" s="18" t="s">
        <v>3</v>
      </c>
      <c r="B1540" s="25" t="s">
        <v>1543</v>
      </c>
      <c r="C1540" s="2" t="str">
        <f ca="1">IFERROR(__xludf.DUMMYFUNCTION("GOOGLETRANSLATE(B1540, ""bn"", ""en"")"),"Iman increased after watching the video, God is great. May Allah create your love in my heart")</f>
        <v>Iman increased after watching the video, God is great. May Allah create your love in my heart</v>
      </c>
      <c r="D1540" s="2"/>
      <c r="E1540" s="2"/>
      <c r="F1540" s="2"/>
      <c r="G1540" s="2"/>
      <c r="H1540" s="5"/>
      <c r="I1540" s="5"/>
      <c r="J1540" s="5"/>
      <c r="K1540" s="5"/>
      <c r="L1540" s="5"/>
      <c r="M1540" s="5"/>
      <c r="N1540" s="5"/>
      <c r="O1540" s="5"/>
      <c r="P1540" s="5"/>
      <c r="Q1540" s="5"/>
      <c r="R1540" s="5"/>
      <c r="S1540" s="5"/>
      <c r="T1540" s="5"/>
      <c r="U1540" s="5"/>
      <c r="V1540" s="5"/>
      <c r="W1540" s="5"/>
      <c r="X1540" s="5"/>
      <c r="Y1540" s="5"/>
      <c r="Z1540" s="5"/>
    </row>
    <row r="1541" spans="1:26" ht="15.6" x14ac:dyDescent="0.3">
      <c r="A1541" s="18" t="s">
        <v>5</v>
      </c>
      <c r="B1541" s="25" t="s">
        <v>1544</v>
      </c>
      <c r="C1541" s="2" t="str">
        <f ca="1">IFERROR(__xludf.DUMMYFUNCTION("GOOGLETRANSLATE(B1541, ""bn"", ""en"")"),"Insulting not only the Quran but all scriptures and God should be punishable by death as the minimum, and public execution as the maximum.")</f>
        <v>Insulting not only the Quran but all scriptures and God should be punishable by death as the minimum, and public execution as the maximum.</v>
      </c>
      <c r="D1541" s="5"/>
      <c r="E1541" s="5"/>
      <c r="F1541" s="5"/>
      <c r="G1541" s="5"/>
      <c r="H1541" s="5"/>
      <c r="I1541" s="5"/>
      <c r="J1541" s="5"/>
      <c r="K1541" s="5"/>
      <c r="L1541" s="5"/>
      <c r="M1541" s="5"/>
      <c r="N1541" s="5"/>
      <c r="O1541" s="5"/>
      <c r="P1541" s="5"/>
      <c r="Q1541" s="5"/>
      <c r="R1541" s="5"/>
      <c r="S1541" s="5"/>
      <c r="T1541" s="5"/>
      <c r="U1541" s="5"/>
      <c r="V1541" s="5"/>
      <c r="W1541" s="5"/>
      <c r="X1541" s="5"/>
      <c r="Y1541" s="5"/>
      <c r="Z1541" s="5"/>
    </row>
    <row r="1542" spans="1:26" ht="15.6" x14ac:dyDescent="0.3">
      <c r="A1542" s="18" t="s">
        <v>23</v>
      </c>
      <c r="B1542" s="24" t="s">
        <v>1545</v>
      </c>
      <c r="C1542" s="2" t="str">
        <f ca="1">IFERROR(__xludf.DUMMYFUNCTION("GOOGLETRANSLATE(B1542, ""bn"", ""en"")"),"Some sections of the Hindu community create religious hatred and destroy social harmony by making derogatory statements against other religions.")</f>
        <v>Some sections of the Hindu community create religious hatred and destroy social harmony by making derogatory statements against other religions.</v>
      </c>
      <c r="D1542" s="5"/>
      <c r="E1542" s="5"/>
      <c r="F1542" s="5"/>
      <c r="G1542" s="5"/>
      <c r="H1542" s="5"/>
      <c r="I1542" s="5"/>
      <c r="J1542" s="5"/>
      <c r="K1542" s="5"/>
      <c r="L1542" s="5"/>
      <c r="M1542" s="5"/>
      <c r="N1542" s="5"/>
      <c r="O1542" s="5"/>
      <c r="P1542" s="5"/>
      <c r="Q1542" s="5"/>
      <c r="R1542" s="5"/>
      <c r="S1542" s="5"/>
      <c r="T1542" s="5"/>
      <c r="U1542" s="5"/>
      <c r="V1542" s="5"/>
      <c r="W1542" s="5"/>
      <c r="X1542" s="5"/>
      <c r="Y1542" s="5"/>
      <c r="Z1542" s="5"/>
    </row>
    <row r="1543" spans="1:26" ht="15.6" x14ac:dyDescent="0.3">
      <c r="A1543" s="18" t="s">
        <v>23</v>
      </c>
      <c r="B1543" s="25" t="s">
        <v>1546</v>
      </c>
      <c r="C1543" s="2" t="str">
        <f ca="1">IFERROR(__xludf.DUMMYFUNCTION("GOOGLETRANSLATE(B1543, ""bn"", ""en"")"),"A class of people create unnecessary debates about religion in science groups. We do not disrespect religion, but such behavior is not acceptable in science groups.")</f>
        <v>A class of people create unnecessary debates about religion in science groups. We do not disrespect religion, but such behavior is not acceptable in science groups.</v>
      </c>
      <c r="D1543" s="2"/>
      <c r="E1543" s="2"/>
      <c r="F1543" s="2"/>
      <c r="G1543" s="2"/>
      <c r="H1543" s="3"/>
      <c r="I1543" s="3"/>
      <c r="J1543" s="3"/>
      <c r="K1543" s="3"/>
      <c r="L1543" s="3"/>
      <c r="M1543" s="3"/>
      <c r="N1543" s="3"/>
      <c r="O1543" s="3"/>
      <c r="P1543" s="3"/>
      <c r="Q1543" s="3"/>
      <c r="R1543" s="3"/>
      <c r="S1543" s="3"/>
      <c r="T1543" s="3"/>
      <c r="U1543" s="3"/>
      <c r="V1543" s="3"/>
      <c r="W1543" s="3"/>
      <c r="X1543" s="3"/>
      <c r="Y1543" s="3"/>
      <c r="Z1543" s="3"/>
    </row>
    <row r="1544" spans="1:26" ht="15.6" x14ac:dyDescent="0.3">
      <c r="A1544" s="18" t="s">
        <v>8</v>
      </c>
      <c r="B1544" s="25" t="s">
        <v>1547</v>
      </c>
      <c r="C1544" s="2" t="str">
        <f ca="1">IFERROR(__xludf.DUMMYFUNCTION("GOOGLETRANSLATE(B1544, ""bn"", ""en"")"),"In 2017, traditional religious places of worship were set ablaze in Gopalganj, injuring religious leaders and followers.")</f>
        <v>In 2017, traditional religious places of worship were set ablaze in Gopalganj, injuring religious leaders and followers.</v>
      </c>
      <c r="D1544" s="2"/>
      <c r="E1544" s="2"/>
      <c r="F1544" s="2"/>
      <c r="G1544" s="2"/>
      <c r="H1544" s="5"/>
      <c r="I1544" s="5"/>
      <c r="J1544" s="5"/>
      <c r="K1544" s="5"/>
      <c r="L1544" s="5"/>
      <c r="M1544" s="5"/>
      <c r="N1544" s="5"/>
      <c r="O1544" s="5"/>
      <c r="P1544" s="5"/>
      <c r="Q1544" s="5"/>
      <c r="R1544" s="5"/>
      <c r="S1544" s="5"/>
      <c r="T1544" s="5"/>
      <c r="U1544" s="5"/>
      <c r="V1544" s="5"/>
      <c r="W1544" s="5"/>
      <c r="X1544" s="5"/>
      <c r="Y1544" s="5"/>
      <c r="Z1544" s="5"/>
    </row>
    <row r="1545" spans="1:26" ht="15.6" x14ac:dyDescent="0.3">
      <c r="A1545" s="18" t="s">
        <v>3</v>
      </c>
      <c r="B1545" s="25" t="s">
        <v>1548</v>
      </c>
      <c r="C1545" s="2" t="str">
        <f ca="1">IFERROR(__xludf.DUMMYFUNCTION("GOOGLETRANSLATE(B1545, ""bn"", ""en"")"),"From the morning, the smoke of pitha puli and pies is being made in the neighborhood and everyone is celebrating the Mangal Rath Yatra with the blessings of God.")</f>
        <v>From the morning, the smoke of pitha puli and pies is being made in the neighborhood and everyone is celebrating the Mangal Rath Yatra with the blessings of God.</v>
      </c>
      <c r="D1545" s="5"/>
      <c r="E1545" s="5"/>
      <c r="F1545" s="5"/>
      <c r="G1545" s="5"/>
      <c r="H1545" s="5"/>
      <c r="I1545" s="5"/>
      <c r="J1545" s="5"/>
      <c r="K1545" s="5"/>
      <c r="L1545" s="5"/>
      <c r="M1545" s="5"/>
      <c r="N1545" s="5"/>
      <c r="O1545" s="5"/>
      <c r="P1545" s="5"/>
      <c r="Q1545" s="5"/>
      <c r="R1545" s="5"/>
      <c r="S1545" s="5"/>
      <c r="T1545" s="5"/>
      <c r="U1545" s="5"/>
      <c r="V1545" s="5"/>
      <c r="W1545" s="5"/>
      <c r="X1545" s="5"/>
      <c r="Y1545" s="5"/>
      <c r="Z1545" s="5"/>
    </row>
    <row r="1546" spans="1:26" ht="15.6" x14ac:dyDescent="0.3">
      <c r="A1546" s="19" t="s">
        <v>3</v>
      </c>
      <c r="B1546" s="26" t="s">
        <v>1549</v>
      </c>
      <c r="C1546" s="2" t="str">
        <f ca="1">IFERROR(__xludf.DUMMYFUNCTION("GOOGLETRANSLATE(B1546, ""bn"", ""en"")"),"A text dating back to 1000 BC describes a funeral rite in which a widow sleeps with her dead husband, but rises later to receive blessings of children and wealth.")</f>
        <v>A text dating back to 1000 BC describes a funeral rite in which a widow sleeps with her dead husband, but rises later to receive blessings of children and wealth.</v>
      </c>
      <c r="D1546" s="7"/>
      <c r="E1546" s="7"/>
      <c r="F1546" s="7"/>
      <c r="G1546" s="7"/>
      <c r="H1546" s="7"/>
      <c r="I1546" s="7"/>
      <c r="J1546" s="7"/>
      <c r="K1546" s="7"/>
      <c r="L1546" s="7"/>
      <c r="M1546" s="7"/>
      <c r="N1546" s="5"/>
      <c r="O1546" s="5"/>
      <c r="P1546" s="5"/>
      <c r="Q1546" s="5"/>
      <c r="R1546" s="5"/>
      <c r="S1546" s="5"/>
      <c r="T1546" s="5"/>
      <c r="U1546" s="5"/>
      <c r="V1546" s="5"/>
      <c r="W1546" s="5"/>
      <c r="X1546" s="5"/>
      <c r="Y1546" s="5"/>
      <c r="Z1546" s="5"/>
    </row>
    <row r="1547" spans="1:26" ht="15.6" x14ac:dyDescent="0.3">
      <c r="A1547" s="19" t="s">
        <v>8</v>
      </c>
      <c r="B1547" s="26" t="s">
        <v>1550</v>
      </c>
      <c r="C1547" s="2" t="str">
        <f ca="1">IFERROR(__xludf.DUMMYFUNCTION("GOOGLETRANSLATE(B1547, ""bn"", ""en"")"),"The Special Rapporteur said he was concerned about the treatment of members of the Baha'i community in Bangladesh. He said, the situation of religious minorities is deteriorating here.")</f>
        <v>The Special Rapporteur said he was concerned about the treatment of members of the Baha'i community in Bangladesh. He said, the situation of religious minorities is deteriorating here.</v>
      </c>
      <c r="D1547" s="7"/>
      <c r="E1547" s="7"/>
      <c r="F1547" s="7"/>
      <c r="G1547" s="7"/>
      <c r="H1547" s="7"/>
      <c r="I1547" s="7"/>
      <c r="J1547" s="7"/>
      <c r="K1547" s="7"/>
      <c r="L1547" s="7"/>
      <c r="M1547" s="7"/>
      <c r="N1547" s="7"/>
      <c r="O1547" s="5"/>
      <c r="P1547" s="5"/>
      <c r="Q1547" s="5"/>
      <c r="R1547" s="5"/>
      <c r="S1547" s="5"/>
      <c r="T1547" s="5"/>
      <c r="U1547" s="5"/>
      <c r="V1547" s="5"/>
      <c r="W1547" s="5"/>
      <c r="X1547" s="5"/>
      <c r="Y1547" s="5"/>
      <c r="Z1547" s="5"/>
    </row>
    <row r="1548" spans="1:26" ht="15.6" x14ac:dyDescent="0.3">
      <c r="A1548" s="18" t="s">
        <v>8</v>
      </c>
      <c r="B1548" s="25" t="s">
        <v>1551</v>
      </c>
      <c r="C1548" s="2" t="str">
        <f ca="1">IFERROR(__xludf.DUMMYFUNCTION("GOOGLETRANSLATE(B1548, ""bn"", ""en"")"),"After Akash Saha's Facebook post alleging blasphemy, tensions erupted in Dighlia Bazaar, processions took out and attacks took place. The situation could have turned worse without police action.")</f>
        <v>After Akash Saha's Facebook post alleging blasphemy, tensions erupted in Dighlia Bazaar, processions took out and attacks took place. The situation could have turned worse without police action.</v>
      </c>
      <c r="D1548" s="2"/>
      <c r="E1548" s="2"/>
      <c r="F1548" s="2"/>
      <c r="G1548" s="2"/>
      <c r="H1548" s="3"/>
      <c r="I1548" s="3"/>
      <c r="J1548" s="3"/>
      <c r="K1548" s="3"/>
      <c r="L1548" s="3"/>
      <c r="M1548" s="3"/>
      <c r="N1548" s="3"/>
      <c r="O1548" s="3"/>
      <c r="P1548" s="3"/>
      <c r="Q1548" s="3"/>
      <c r="R1548" s="3"/>
      <c r="S1548" s="3"/>
      <c r="T1548" s="3"/>
      <c r="U1548" s="3"/>
      <c r="V1548" s="3"/>
      <c r="W1548" s="3"/>
      <c r="X1548" s="3"/>
      <c r="Y1548" s="3"/>
      <c r="Z1548" s="3"/>
    </row>
    <row r="1549" spans="1:26" ht="15.6" x14ac:dyDescent="0.3">
      <c r="A1549" s="18" t="s">
        <v>3</v>
      </c>
      <c r="B1549" s="25" t="s">
        <v>1552</v>
      </c>
      <c r="C1549" s="2" t="str">
        <f ca="1">IFERROR(__xludf.DUMMYFUNCTION("GOOGLETRANSLATE(B1549, ""bn"", ""en"")"),"The country that was supposed to be a country of all races, tribes, religions, for which the martyrs of all religions and castes gave their lives, the progress and prosperity of that country!")</f>
        <v>The country that was supposed to be a country of all races, tribes, religions, for which the martyrs of all religions and castes gave their lives, the progress and prosperity of that country!</v>
      </c>
      <c r="D1549" s="2"/>
      <c r="E1549" s="2"/>
      <c r="F1549" s="2"/>
      <c r="G1549" s="2"/>
      <c r="H1549" s="3"/>
      <c r="I1549" s="3"/>
      <c r="J1549" s="3"/>
      <c r="K1549" s="3"/>
      <c r="L1549" s="3"/>
      <c r="M1549" s="3"/>
      <c r="N1549" s="3"/>
      <c r="O1549" s="3"/>
      <c r="P1549" s="3"/>
      <c r="Q1549" s="3"/>
      <c r="R1549" s="3"/>
      <c r="S1549" s="3"/>
      <c r="T1549" s="3"/>
      <c r="U1549" s="3"/>
      <c r="V1549" s="3"/>
      <c r="W1549" s="3"/>
      <c r="X1549" s="3"/>
      <c r="Y1549" s="3"/>
      <c r="Z1549" s="3"/>
    </row>
    <row r="1550" spans="1:26" ht="15.6" x14ac:dyDescent="0.3">
      <c r="A1550" s="18" t="s">
        <v>8</v>
      </c>
      <c r="B1550" s="25" t="s">
        <v>1553</v>
      </c>
      <c r="C1550" s="2" t="str">
        <f ca="1">IFERROR(__xludf.DUMMYFUNCTION("GOOGLETRANSLATE(B1550, ""bn"", ""en"")"),"Khulna Dharmasabha temple ceremony bomb attack, constable injured,")</f>
        <v>Khulna Dharmasabha temple ceremony bomb attack, constable injured,</v>
      </c>
      <c r="D1550" s="5"/>
      <c r="E1550" s="5"/>
      <c r="F1550" s="5"/>
      <c r="G1550" s="5"/>
      <c r="H1550" s="5"/>
      <c r="I1550" s="5"/>
      <c r="J1550" s="5"/>
      <c r="K1550" s="5"/>
      <c r="L1550" s="5"/>
      <c r="M1550" s="5"/>
      <c r="N1550" s="5"/>
      <c r="O1550" s="5"/>
      <c r="P1550" s="5"/>
      <c r="Q1550" s="5"/>
      <c r="R1550" s="5"/>
      <c r="S1550" s="5"/>
      <c r="T1550" s="5"/>
      <c r="U1550" s="5"/>
      <c r="V1550" s="5"/>
      <c r="W1550" s="5"/>
      <c r="X1550" s="5"/>
      <c r="Y1550" s="5"/>
      <c r="Z1550" s="5"/>
    </row>
    <row r="1551" spans="1:26" ht="15.6" x14ac:dyDescent="0.3">
      <c r="A1551" s="18" t="s">
        <v>5</v>
      </c>
      <c r="B1551" s="25" t="s">
        <v>1554</v>
      </c>
      <c r="C1551" s="2" t="str">
        <f ca="1">IFERROR(__xludf.DUMMYFUNCTION("GOOGLETRANSLATE(B1551, ""bn"", ""en"")"),"In 2015, a Shia mosque in Rajshahi was attacked by terrorists, killing one worshiper and injuring several others.")</f>
        <v>In 2015, a Shia mosque in Rajshahi was attacked by terrorists, killing one worshiper and injuring several others.</v>
      </c>
      <c r="D1551" s="5"/>
      <c r="E1551" s="5"/>
      <c r="F1551" s="5"/>
      <c r="G1551" s="5"/>
      <c r="H1551" s="5"/>
      <c r="I1551" s="5"/>
      <c r="J1551" s="5"/>
      <c r="K1551" s="5"/>
      <c r="L1551" s="5"/>
      <c r="M1551" s="5"/>
      <c r="N1551" s="5"/>
      <c r="O1551" s="5"/>
      <c r="P1551" s="5"/>
      <c r="Q1551" s="5"/>
      <c r="R1551" s="5"/>
      <c r="S1551" s="5"/>
      <c r="T1551" s="5"/>
      <c r="U1551" s="5"/>
      <c r="V1551" s="5"/>
      <c r="W1551" s="5"/>
      <c r="X1551" s="5"/>
      <c r="Y1551" s="5"/>
      <c r="Z1551" s="5"/>
    </row>
    <row r="1552" spans="1:26" ht="15.6" x14ac:dyDescent="0.3">
      <c r="A1552" s="18" t="s">
        <v>3</v>
      </c>
      <c r="B1552" s="25" t="s">
        <v>1555</v>
      </c>
      <c r="C1552" s="2" t="str">
        <f ca="1">IFERROR(__xludf.DUMMYFUNCTION("GOOGLETRANSLATE(B1552, ""bn"", ""en"")"),"O my great Lord, I am the ummah of Prophet Muhammad sallallahu alaihi wasallam, inshallah, I am hopeful, I want to go to paradise together with my parents, my wife, my brothers, and my closest relatives, grandmothers, aunts, uncles, aunts, uncles, and in-"&amp;"laws.")</f>
        <v>O my great Lord, I am the ummah of Prophet Muhammad sallallahu alaihi wasallam, inshallah, I am hopeful, I want to go to paradise together with my parents, my wife, my brothers, and my closest relatives, grandmothers, aunts, uncles, aunts, uncles, and in-laws.</v>
      </c>
      <c r="D1552" s="2"/>
      <c r="E1552" s="2"/>
      <c r="F1552" s="2"/>
      <c r="G1552" s="2"/>
      <c r="H1552" s="3"/>
      <c r="I1552" s="3"/>
      <c r="J1552" s="3"/>
      <c r="K1552" s="3"/>
      <c r="L1552" s="3"/>
      <c r="M1552" s="3"/>
      <c r="N1552" s="3"/>
      <c r="O1552" s="3"/>
      <c r="P1552" s="3"/>
      <c r="Q1552" s="3"/>
      <c r="R1552" s="3"/>
      <c r="S1552" s="3"/>
      <c r="T1552" s="3"/>
      <c r="U1552" s="3"/>
      <c r="V1552" s="3"/>
      <c r="W1552" s="3"/>
      <c r="X1552" s="3"/>
      <c r="Y1552" s="3"/>
      <c r="Z1552" s="3"/>
    </row>
    <row r="1553" spans="1:26" ht="15.6" x14ac:dyDescent="0.3">
      <c r="A1553" s="18" t="s">
        <v>8</v>
      </c>
      <c r="B1553" s="25" t="s">
        <v>1556</v>
      </c>
      <c r="C1553" s="2" t="str">
        <f ca="1">IFERROR(__xludf.DUMMYFUNCTION("GOOGLETRANSLATE(B1553, ""bn"", ""en"")"),"Religious hatred forced thousands of Hindu scholars to flee their homes in what is still considered an example of heinous religious persecution.")</f>
        <v>Religious hatred forced thousands of Hindu scholars to flee their homes in what is still considered an example of heinous religious persecution.</v>
      </c>
      <c r="D1553" s="5"/>
      <c r="E1553" s="5"/>
      <c r="F1553" s="5"/>
      <c r="G1553" s="5"/>
      <c r="H1553" s="5"/>
      <c r="I1553" s="5"/>
      <c r="J1553" s="5"/>
      <c r="K1553" s="5"/>
      <c r="L1553" s="5"/>
      <c r="M1553" s="5"/>
      <c r="N1553" s="5"/>
      <c r="O1553" s="5"/>
      <c r="P1553" s="5"/>
      <c r="Q1553" s="5"/>
      <c r="R1553" s="5"/>
      <c r="S1553" s="5"/>
      <c r="T1553" s="5"/>
      <c r="U1553" s="5"/>
      <c r="V1553" s="5"/>
      <c r="W1553" s="5"/>
      <c r="X1553" s="5"/>
      <c r="Y1553" s="5"/>
      <c r="Z1553" s="5"/>
    </row>
    <row r="1554" spans="1:26" ht="15.6" x14ac:dyDescent="0.3">
      <c r="A1554" s="18" t="s">
        <v>8</v>
      </c>
      <c r="B1554" s="24" t="s">
        <v>1557</v>
      </c>
      <c r="C1554" s="2" t="str">
        <f ca="1">IFERROR(__xludf.DUMMYFUNCTION("GOOGLETRANSLATE(B1554, ""bn"", ""en"")"),"28 October 2022 Miscreants vandalized idols before Panchami Puja in Lakshmipur's Kamalnagar.")</f>
        <v>28 October 2022 Miscreants vandalized idols before Panchami Puja in Lakshmipur's Kamalnagar.</v>
      </c>
      <c r="D1554" s="5"/>
      <c r="E1554" s="5"/>
      <c r="F1554" s="5"/>
      <c r="G1554" s="5"/>
      <c r="H1554" s="5"/>
      <c r="I1554" s="5"/>
      <c r="J1554" s="5"/>
      <c r="K1554" s="5"/>
      <c r="L1554" s="5"/>
      <c r="M1554" s="5"/>
      <c r="N1554" s="5"/>
      <c r="O1554" s="5"/>
      <c r="P1554" s="5"/>
      <c r="Q1554" s="5"/>
      <c r="R1554" s="5"/>
      <c r="S1554" s="5"/>
      <c r="T1554" s="5"/>
      <c r="U1554" s="5"/>
      <c r="V1554" s="5"/>
      <c r="W1554" s="5"/>
      <c r="X1554" s="5"/>
      <c r="Y1554" s="5"/>
      <c r="Z1554" s="5"/>
    </row>
    <row r="1555" spans="1:26" ht="15.6" x14ac:dyDescent="0.3">
      <c r="A1555" s="18" t="s">
        <v>8</v>
      </c>
      <c r="B1555" s="25" t="s">
        <v>1558</v>
      </c>
      <c r="C1555" s="2" t="str">
        <f ca="1">IFERROR(__xludf.DUMMYFUNCTION("GOOGLETRANSLATE(B1555, ""bn"", ""en"")"),"Miscreants attacked Shyam Sundar Jeur Akhra and Durga Puja Mandap of Shiv Mandir in Kishoreganj at around 9:30 pm on Sunday, October 2.")</f>
        <v>Miscreants attacked Shyam Sundar Jeur Akhra and Durga Puja Mandap of Shiv Mandir in Kishoreganj at around 9:30 pm on Sunday, October 2.</v>
      </c>
      <c r="D1555" s="5"/>
      <c r="E1555" s="5"/>
      <c r="F1555" s="5"/>
      <c r="G1555" s="5"/>
      <c r="H1555" s="5"/>
      <c r="I1555" s="5"/>
      <c r="J1555" s="5"/>
      <c r="K1555" s="5"/>
      <c r="L1555" s="5"/>
      <c r="M1555" s="5"/>
      <c r="N1555" s="5"/>
      <c r="O1555" s="5"/>
      <c r="P1555" s="5"/>
      <c r="Q1555" s="5"/>
      <c r="R1555" s="5"/>
      <c r="S1555" s="5"/>
      <c r="T1555" s="5"/>
      <c r="U1555" s="5"/>
      <c r="V1555" s="5"/>
      <c r="W1555" s="5"/>
      <c r="X1555" s="5"/>
      <c r="Y1555" s="5"/>
      <c r="Z1555" s="5"/>
    </row>
    <row r="1556" spans="1:26" ht="15.6" x14ac:dyDescent="0.3">
      <c r="A1556" s="18" t="s">
        <v>23</v>
      </c>
      <c r="B1556" s="25" t="s">
        <v>1559</v>
      </c>
      <c r="C1556" s="2" t="str">
        <f ca="1">IFERROR(__xludf.DUMMYFUNCTION("GOOGLETRANSLATE(B1556, ""bn"", ""en"")"),"They insult Islam and destroy our honor - they are enemies.")</f>
        <v>They insult Islam and destroy our honor - they are enemies.</v>
      </c>
      <c r="D1556" s="5"/>
      <c r="E1556" s="5"/>
      <c r="F1556" s="5"/>
      <c r="G1556" s="5"/>
      <c r="H1556" s="5"/>
      <c r="I1556" s="5"/>
      <c r="J1556" s="5"/>
      <c r="K1556" s="5"/>
      <c r="L1556" s="5"/>
      <c r="M1556" s="5"/>
      <c r="N1556" s="5"/>
      <c r="O1556" s="5"/>
      <c r="P1556" s="5"/>
      <c r="Q1556" s="5"/>
      <c r="R1556" s="5"/>
      <c r="S1556" s="5"/>
      <c r="T1556" s="5"/>
      <c r="U1556" s="5"/>
      <c r="V1556" s="5"/>
      <c r="W1556" s="5"/>
      <c r="X1556" s="5"/>
      <c r="Y1556" s="5"/>
      <c r="Z1556" s="5"/>
    </row>
    <row r="1557" spans="1:26" ht="15.6" x14ac:dyDescent="0.3">
      <c r="A1557" s="18" t="s">
        <v>23</v>
      </c>
      <c r="B1557" s="25" t="s">
        <v>1560</v>
      </c>
      <c r="C1557" s="2" t="str">
        <f ca="1">IFERROR(__xludf.DUMMYFUNCTION("GOOGLETRANSLATE(B1557, ""bn"", ""en"")"),"Lately, some non-Muslims have opened Facebook IDs with Muslim names and are making various negative comments about anti-Islam propaganda and posts about Islam.")</f>
        <v>Lately, some non-Muslims have opened Facebook IDs with Muslim names and are making various negative comments about anti-Islam propaganda and posts about Islam.</v>
      </c>
      <c r="D1557" s="5"/>
      <c r="E1557" s="5"/>
      <c r="F1557" s="5"/>
      <c r="G1557" s="5"/>
      <c r="H1557" s="5"/>
      <c r="I1557" s="5"/>
      <c r="J1557" s="5"/>
      <c r="K1557" s="5"/>
      <c r="L1557" s="5"/>
      <c r="M1557" s="5"/>
      <c r="N1557" s="5"/>
      <c r="O1557" s="5"/>
      <c r="P1557" s="5"/>
      <c r="Q1557" s="5"/>
      <c r="R1557" s="5"/>
      <c r="S1557" s="5"/>
      <c r="T1557" s="5"/>
      <c r="U1557" s="5"/>
      <c r="V1557" s="5"/>
      <c r="W1557" s="5"/>
      <c r="X1557" s="5"/>
      <c r="Y1557" s="5"/>
      <c r="Z1557" s="5"/>
    </row>
    <row r="1558" spans="1:26" ht="15.6" x14ac:dyDescent="0.3">
      <c r="A1558" s="19" t="s">
        <v>3</v>
      </c>
      <c r="B1558" s="26" t="s">
        <v>1561</v>
      </c>
      <c r="C1558" s="2" t="str">
        <f ca="1">IFERROR(__xludf.DUMMYFUNCTION("GOOGLETRANSLATE(B1558, ""bn"", ""en"")"),"Why do we abuse religion? Islam is not a small religion.")</f>
        <v>Why do we abuse religion? Islam is not a small religion.</v>
      </c>
      <c r="D1558" s="5"/>
      <c r="E1558" s="5"/>
      <c r="F1558" s="5"/>
      <c r="G1558" s="5"/>
      <c r="H1558" s="5"/>
      <c r="I1558" s="5"/>
      <c r="J1558" s="5"/>
      <c r="K1558" s="5"/>
      <c r="L1558" s="5"/>
      <c r="M1558" s="5"/>
      <c r="N1558" s="5"/>
      <c r="O1558" s="5"/>
      <c r="P1558" s="5"/>
      <c r="Q1558" s="5"/>
      <c r="R1558" s="5"/>
      <c r="S1558" s="5"/>
      <c r="T1558" s="5"/>
      <c r="U1558" s="5"/>
      <c r="V1558" s="5"/>
      <c r="W1558" s="5"/>
      <c r="X1558" s="5"/>
      <c r="Y1558" s="5"/>
      <c r="Z1558" s="5"/>
    </row>
    <row r="1559" spans="1:26" ht="15.6" x14ac:dyDescent="0.3">
      <c r="A1559" s="19" t="s">
        <v>5</v>
      </c>
      <c r="B1559" s="26" t="s">
        <v>1562</v>
      </c>
      <c r="C1559" s="2" t="str">
        <f ca="1">IFERROR(__xludf.DUMMYFUNCTION("GOOGLETRANSLATE(B1559, ""bn"", ""en"")"),"Suman Kumar Mahant, OC of Patgram Police Station, said that among the three cases, the murder case was filed by the victim's family. A case of vandalism of government buildings has been filed by the Union Parishad Chairman. And the police have filed a cas"&amp;"e under sections of obstructing government work and some others.")</f>
        <v>Suman Kumar Mahant, OC of Patgram Police Station, said that among the three cases, the murder case was filed by the victim's family. A case of vandalism of government buildings has been filed by the Union Parishad Chairman. And the police have filed a case under sections of obstructing government work and some others.</v>
      </c>
      <c r="D1559" s="7"/>
      <c r="E1559" s="7"/>
      <c r="F1559" s="7"/>
      <c r="G1559" s="7"/>
      <c r="H1559" s="7"/>
      <c r="I1559" s="5"/>
      <c r="J1559" s="5"/>
      <c r="K1559" s="5"/>
      <c r="L1559" s="5"/>
      <c r="M1559" s="5"/>
      <c r="N1559" s="5"/>
      <c r="O1559" s="5"/>
      <c r="P1559" s="5"/>
      <c r="Q1559" s="5"/>
      <c r="R1559" s="5"/>
      <c r="S1559" s="5"/>
      <c r="T1559" s="5"/>
      <c r="U1559" s="5"/>
      <c r="V1559" s="5"/>
      <c r="W1559" s="5"/>
      <c r="X1559" s="5"/>
      <c r="Y1559" s="5"/>
      <c r="Z1559" s="5"/>
    </row>
    <row r="1560" spans="1:26" ht="15.6" x14ac:dyDescent="0.3">
      <c r="A1560" s="18" t="s">
        <v>23</v>
      </c>
      <c r="B1560" s="25" t="s">
        <v>1563</v>
      </c>
      <c r="C1560" s="2" t="str">
        <f ca="1">IFERROR(__xludf.DUMMYFUNCTION("GOOGLETRANSLATE(B1560, ""bn"", ""en"")"),"A message for him - There are always religious traders in Bangladesh who spread riots in the country for their own interests in the name of religion!")</f>
        <v>A message for him - There are always religious traders in Bangladesh who spread riots in the country for their own interests in the name of religion!</v>
      </c>
      <c r="D1560" s="2"/>
      <c r="E1560" s="2"/>
      <c r="F1560" s="2"/>
      <c r="G1560" s="2"/>
      <c r="H1560" s="3"/>
      <c r="I1560" s="3"/>
      <c r="J1560" s="3"/>
      <c r="K1560" s="3"/>
      <c r="L1560" s="3"/>
      <c r="M1560" s="3"/>
      <c r="N1560" s="3"/>
      <c r="O1560" s="3"/>
      <c r="P1560" s="3"/>
      <c r="Q1560" s="3"/>
      <c r="R1560" s="3"/>
      <c r="S1560" s="3"/>
      <c r="T1560" s="3"/>
      <c r="U1560" s="3"/>
      <c r="V1560" s="3"/>
      <c r="W1560" s="3"/>
      <c r="X1560" s="3"/>
      <c r="Y1560" s="3"/>
      <c r="Z1560" s="3"/>
    </row>
    <row r="1561" spans="1:26" ht="15.6" x14ac:dyDescent="0.3">
      <c r="A1561" s="18" t="s">
        <v>8</v>
      </c>
      <c r="B1561" s="25" t="s">
        <v>1564</v>
      </c>
      <c r="C1561" s="2" t="str">
        <f ca="1">IFERROR(__xludf.DUMMYFUNCTION("GOOGLETRANSLATE(B1561, ""bn"", ""en"")"),"Rana Dasgupta, General Secretary of Hindu-Buddhist-Christian Unity Council, said that the attacks were carried out on the one hand by spreading rumours, and on the other hand, the victims were being tried to be framed for insulting religion.")</f>
        <v>Rana Dasgupta, General Secretary of Hindu-Buddhist-Christian Unity Council, said that the attacks were carried out on the one hand by spreading rumours, and on the other hand, the victims were being tried to be framed for insulting religion.</v>
      </c>
      <c r="D1561" s="6"/>
      <c r="E1561" s="2"/>
      <c r="F1561" s="2"/>
      <c r="G1561" s="2"/>
      <c r="H1561" s="3"/>
      <c r="I1561" s="3"/>
      <c r="J1561" s="3"/>
      <c r="K1561" s="3"/>
      <c r="L1561" s="3"/>
      <c r="M1561" s="3"/>
      <c r="N1561" s="3"/>
      <c r="O1561" s="3"/>
      <c r="P1561" s="3"/>
      <c r="Q1561" s="3"/>
      <c r="R1561" s="3"/>
      <c r="S1561" s="3"/>
      <c r="T1561" s="3"/>
      <c r="U1561" s="3"/>
      <c r="V1561" s="3"/>
      <c r="W1561" s="3"/>
      <c r="X1561" s="3"/>
      <c r="Y1561" s="3"/>
      <c r="Z1561" s="3"/>
    </row>
    <row r="1562" spans="1:26" ht="15.6" x14ac:dyDescent="0.3">
      <c r="A1562" s="18" t="s">
        <v>23</v>
      </c>
      <c r="B1562" s="24" t="s">
        <v>1565</v>
      </c>
      <c r="C1562" s="2" t="str">
        <f ca="1">IFERROR(__xludf.DUMMYFUNCTION("GOOGLETRANSLATE(B1562, ""bn"", ""en"")"),"A section of the Muslim community spreads religious extremism and shows a contemptuous attitude towards other religions.")</f>
        <v>A section of the Muslim community spreads religious extremism and shows a contemptuous attitude towards other religions.</v>
      </c>
      <c r="D1562" s="5"/>
      <c r="E1562" s="5"/>
      <c r="F1562" s="5"/>
      <c r="G1562" s="5"/>
      <c r="H1562" s="5"/>
      <c r="I1562" s="5"/>
      <c r="J1562" s="5"/>
      <c r="K1562" s="5"/>
      <c r="L1562" s="5"/>
      <c r="M1562" s="5"/>
      <c r="N1562" s="5"/>
      <c r="O1562" s="5"/>
      <c r="P1562" s="5"/>
      <c r="Q1562" s="5"/>
      <c r="R1562" s="5"/>
      <c r="S1562" s="5"/>
      <c r="T1562" s="5"/>
      <c r="U1562" s="5"/>
      <c r="V1562" s="5"/>
      <c r="W1562" s="5"/>
      <c r="X1562" s="5"/>
      <c r="Y1562" s="5"/>
      <c r="Z1562" s="5"/>
    </row>
    <row r="1563" spans="1:26" ht="15.6" x14ac:dyDescent="0.3">
      <c r="A1563" s="18" t="s">
        <v>23</v>
      </c>
      <c r="B1563" s="25" t="s">
        <v>1566</v>
      </c>
      <c r="C1563" s="2" t="str">
        <f ca="1">IFERROR(__xludf.DUMMYFUNCTION("GOOGLETRANSLATE(B1563, ""bn"", ""en"")"),"The anti-Islamic devils are insulting the Muslims by insulting the Holy Qur'an again and again - such profane should be punished.")</f>
        <v>The anti-Islamic devils are insulting the Muslims by insulting the Holy Qur'an again and again - such profane should be punished.</v>
      </c>
      <c r="D1563" s="5"/>
      <c r="E1563" s="5"/>
      <c r="F1563" s="5"/>
      <c r="G1563" s="5"/>
      <c r="H1563" s="5"/>
      <c r="I1563" s="5"/>
      <c r="J1563" s="5"/>
      <c r="K1563" s="5"/>
      <c r="L1563" s="5"/>
      <c r="M1563" s="5"/>
      <c r="N1563" s="5"/>
      <c r="O1563" s="5"/>
      <c r="P1563" s="5"/>
      <c r="Q1563" s="5"/>
      <c r="R1563" s="5"/>
      <c r="S1563" s="5"/>
      <c r="T1563" s="5"/>
      <c r="U1563" s="5"/>
      <c r="V1563" s="5"/>
      <c r="W1563" s="5"/>
      <c r="X1563" s="5"/>
      <c r="Y1563" s="5"/>
      <c r="Z1563" s="5"/>
    </row>
    <row r="1564" spans="1:26" ht="15.6" x14ac:dyDescent="0.3">
      <c r="A1564" s="18" t="s">
        <v>23</v>
      </c>
      <c r="B1564" s="25" t="s">
        <v>1567</v>
      </c>
      <c r="C1564" s="2" t="str">
        <f ca="1">IFERROR(__xludf.DUMMYFUNCTION("GOOGLETRANSLATE(B1564, ""bn"", ""en"")"),"Those who insulted Quran in Sherpur district, may Allah punish them severely.")</f>
        <v>Those who insulted Quran in Sherpur district, may Allah punish them severely.</v>
      </c>
      <c r="D1564" s="2"/>
      <c r="E1564" s="2"/>
      <c r="F1564" s="2"/>
      <c r="G1564" s="2"/>
      <c r="H1564" s="5"/>
      <c r="I1564" s="5"/>
      <c r="J1564" s="5"/>
      <c r="K1564" s="5"/>
      <c r="L1564" s="5"/>
      <c r="M1564" s="5"/>
      <c r="N1564" s="5"/>
      <c r="O1564" s="5"/>
      <c r="P1564" s="5"/>
      <c r="Q1564" s="5"/>
      <c r="R1564" s="5"/>
      <c r="S1564" s="5"/>
      <c r="T1564" s="5"/>
      <c r="U1564" s="5"/>
      <c r="V1564" s="5"/>
      <c r="W1564" s="5"/>
      <c r="X1564" s="5"/>
      <c r="Y1564" s="5"/>
      <c r="Z1564" s="5"/>
    </row>
    <row r="1565" spans="1:26" ht="15.6" x14ac:dyDescent="0.3">
      <c r="A1565" s="18" t="s">
        <v>3</v>
      </c>
      <c r="B1565" s="24" t="s">
        <v>1568</v>
      </c>
      <c r="C1565" s="2" t="str">
        <f ca="1">IFERROR(__xludf.DUMMYFUNCTION("GOOGLETRANSLATE(B1565, ""bn"", ""en"")"),"A true religious person can never harm others.")</f>
        <v>A true religious person can never harm others.</v>
      </c>
      <c r="D1565" s="5"/>
      <c r="E1565" s="5"/>
      <c r="F1565" s="5"/>
      <c r="G1565" s="5"/>
      <c r="H1565" s="5"/>
      <c r="I1565" s="5"/>
      <c r="J1565" s="5"/>
      <c r="K1565" s="5"/>
      <c r="L1565" s="5"/>
      <c r="M1565" s="5"/>
      <c r="N1565" s="5"/>
      <c r="O1565" s="5"/>
      <c r="P1565" s="5"/>
      <c r="Q1565" s="5"/>
      <c r="R1565" s="5"/>
      <c r="S1565" s="5"/>
      <c r="T1565" s="5"/>
      <c r="U1565" s="5"/>
      <c r="V1565" s="5"/>
      <c r="W1565" s="5"/>
      <c r="X1565" s="5"/>
      <c r="Y1565" s="5"/>
      <c r="Z1565" s="5"/>
    </row>
    <row r="1566" spans="1:26" ht="15.6" x14ac:dyDescent="0.3">
      <c r="A1566" s="19" t="s">
        <v>5</v>
      </c>
      <c r="B1566" s="26" t="s">
        <v>1569</v>
      </c>
      <c r="C1566" s="2" t="str">
        <f ca="1">IFERROR(__xludf.DUMMYFUNCTION("GOOGLETRANSLATE(B1566, ""bn"", ""en"")"),"In six months, Hindu community residences and temples were attacked and torched, and 62 people were killed in the crossfire.")</f>
        <v>In six months, Hindu community residences and temples were attacked and torched, and 62 people were killed in the crossfire.</v>
      </c>
      <c r="D1566" s="7"/>
      <c r="E1566" s="7"/>
      <c r="F1566" s="7"/>
      <c r="G1566" s="7"/>
      <c r="H1566" s="5"/>
      <c r="I1566" s="5"/>
      <c r="J1566" s="5"/>
      <c r="K1566" s="5"/>
      <c r="L1566" s="5"/>
      <c r="M1566" s="5"/>
      <c r="N1566" s="5"/>
      <c r="O1566" s="5"/>
      <c r="P1566" s="5"/>
      <c r="Q1566" s="5"/>
      <c r="R1566" s="5"/>
      <c r="S1566" s="5"/>
      <c r="T1566" s="5"/>
      <c r="U1566" s="5"/>
      <c r="V1566" s="5"/>
      <c r="W1566" s="5"/>
      <c r="X1566" s="5"/>
      <c r="Y1566" s="5"/>
      <c r="Z1566" s="5"/>
    </row>
    <row r="1567" spans="1:26" ht="15.6" x14ac:dyDescent="0.3">
      <c r="A1567" s="18" t="s">
        <v>23</v>
      </c>
      <c r="B1567" s="24" t="s">
        <v>1570</v>
      </c>
      <c r="C1567" s="2" t="str">
        <f ca="1">IFERROR(__xludf.DUMMYFUNCTION("GOOGLETRANSLATE(B1567, ""bn"", ""en"")"),"Christians donate to make themselves look good, but inside are poison.")</f>
        <v>Christians donate to make themselves look good, but inside are poison.</v>
      </c>
      <c r="D1567" s="5"/>
      <c r="E1567" s="5"/>
      <c r="F1567" s="5"/>
      <c r="G1567" s="5"/>
      <c r="H1567" s="5"/>
      <c r="I1567" s="5"/>
      <c r="J1567" s="5"/>
      <c r="K1567" s="5"/>
      <c r="L1567" s="5"/>
      <c r="M1567" s="5"/>
      <c r="N1567" s="5"/>
      <c r="O1567" s="5"/>
      <c r="P1567" s="5"/>
      <c r="Q1567" s="5"/>
      <c r="R1567" s="5"/>
      <c r="S1567" s="5"/>
      <c r="T1567" s="5"/>
      <c r="U1567" s="5"/>
      <c r="V1567" s="5"/>
      <c r="W1567" s="5"/>
      <c r="X1567" s="5"/>
      <c r="Y1567" s="5"/>
      <c r="Z1567" s="5"/>
    </row>
    <row r="1568" spans="1:26" ht="15.6" x14ac:dyDescent="0.3">
      <c r="A1568" s="19" t="s">
        <v>8</v>
      </c>
      <c r="B1568" s="26" t="s">
        <v>1571</v>
      </c>
      <c r="C1568" s="2" t="str">
        <f ca="1">IFERROR(__xludf.DUMMYFUNCTION("GOOGLETRANSLATE(B1568, ""bn"", ""en"")"),"They ransacked, vandalized and set fire to every Hindu house and business in Sutrapur. [6] More than 100 houses and shops were looted and in all cases torched. was given")</f>
        <v>They ransacked, vandalized and set fire to every Hindu house and business in Sutrapur. [6] More than 100 houses and shops were looted and in all cases torched. was given</v>
      </c>
      <c r="D1568" s="5"/>
      <c r="E1568" s="5"/>
      <c r="F1568" s="5"/>
      <c r="G1568" s="5"/>
      <c r="H1568" s="5"/>
      <c r="I1568" s="5"/>
      <c r="J1568" s="5"/>
      <c r="K1568" s="5"/>
      <c r="L1568" s="5"/>
      <c r="M1568" s="5"/>
      <c r="N1568" s="5"/>
      <c r="O1568" s="5"/>
      <c r="P1568" s="5"/>
      <c r="Q1568" s="5"/>
      <c r="R1568" s="5"/>
      <c r="S1568" s="5"/>
      <c r="T1568" s="5"/>
      <c r="U1568" s="5"/>
      <c r="V1568" s="5"/>
      <c r="W1568" s="5"/>
      <c r="X1568" s="5"/>
      <c r="Y1568" s="5"/>
      <c r="Z1568" s="5"/>
    </row>
    <row r="1569" spans="1:26" ht="15.6" x14ac:dyDescent="0.3">
      <c r="A1569" s="18" t="s">
        <v>5</v>
      </c>
      <c r="B1569" s="26" t="s">
        <v>1572</v>
      </c>
      <c r="C1569" s="2" t="str">
        <f ca="1">IFERROR(__xludf.DUMMYFUNCTION("GOOGLETRANSLATE(B1569, ""bn"", ""en"")"),"Religious violence resulted in 200 dead bodies being carried on tractors and the intensity and speed of the massacre of innocent Hindus resulted in more than 500 deaths, including beheadings.")</f>
        <v>Religious violence resulted in 200 dead bodies being carried on tractors and the intensity and speed of the massacre of innocent Hindus resulted in more than 500 deaths, including beheadings.</v>
      </c>
      <c r="D1569" s="5"/>
      <c r="E1569" s="5"/>
      <c r="F1569" s="5"/>
      <c r="G1569" s="5"/>
      <c r="H1569" s="5"/>
      <c r="I1569" s="5"/>
      <c r="J1569" s="5"/>
      <c r="K1569" s="5"/>
      <c r="L1569" s="5"/>
      <c r="M1569" s="5"/>
      <c r="N1569" s="5"/>
      <c r="O1569" s="5"/>
      <c r="P1569" s="5"/>
      <c r="Q1569" s="5"/>
      <c r="R1569" s="5"/>
      <c r="S1569" s="5"/>
      <c r="T1569" s="5"/>
      <c r="U1569" s="5"/>
      <c r="V1569" s="5"/>
      <c r="W1569" s="5"/>
      <c r="X1569" s="5"/>
      <c r="Y1569" s="5"/>
      <c r="Z1569" s="5"/>
    </row>
    <row r="1570" spans="1:26" ht="15.6" x14ac:dyDescent="0.3">
      <c r="A1570" s="18" t="s">
        <v>5</v>
      </c>
      <c r="B1570" s="24" t="s">
        <v>1573</v>
      </c>
      <c r="C1570" s="2" t="str">
        <f ca="1">IFERROR(__xludf.DUMMYFUNCTION("GOOGLETRANSLATE(B1570, ""bn"", ""en"")"),"In October 2017, children and the elderly were killed in an attack during a religious prayer; The corpses are thrown into the river; 33 people were killed.")</f>
        <v>In October 2017, children and the elderly were killed in an attack during a religious prayer; The corpses are thrown into the river; 33 people were killed.</v>
      </c>
      <c r="D1570" s="5"/>
      <c r="E1570" s="5"/>
      <c r="F1570" s="5"/>
      <c r="G1570" s="5"/>
      <c r="H1570" s="5"/>
      <c r="I1570" s="5"/>
      <c r="J1570" s="5"/>
      <c r="K1570" s="5"/>
      <c r="L1570" s="5"/>
      <c r="M1570" s="5"/>
      <c r="N1570" s="5"/>
      <c r="O1570" s="5"/>
      <c r="P1570" s="5"/>
      <c r="Q1570" s="5"/>
      <c r="R1570" s="5"/>
      <c r="S1570" s="5"/>
      <c r="T1570" s="5"/>
      <c r="U1570" s="5"/>
      <c r="V1570" s="5"/>
      <c r="W1570" s="5"/>
      <c r="X1570" s="5"/>
      <c r="Y1570" s="5"/>
      <c r="Z1570" s="5"/>
    </row>
    <row r="1571" spans="1:26" ht="15.6" x14ac:dyDescent="0.3">
      <c r="A1571" s="19" t="s">
        <v>8</v>
      </c>
      <c r="B1571" s="26" t="s">
        <v>1574</v>
      </c>
      <c r="C1571" s="2" t="str">
        <f ca="1">IFERROR(__xludf.DUMMYFUNCTION("GOOGLETRANSLATE(B1571, ""bn"", ""en"")"),"Idols of 7 temples and places of worship were vandalized. After the arrest, the police assured the villagers of peace, but the next day vandalism took place in front of the chairman.")</f>
        <v>Idols of 7 temples and places of worship were vandalized. After the arrest, the police assured the villagers of peace, but the next day vandalism took place in front of the chairman.</v>
      </c>
      <c r="D1571" s="7"/>
      <c r="E1571" s="7"/>
      <c r="F1571" s="7"/>
      <c r="G1571" s="7"/>
      <c r="H1571" s="7"/>
      <c r="I1571" s="7"/>
      <c r="J1571" s="7"/>
      <c r="K1571" s="7"/>
      <c r="L1571" s="5"/>
      <c r="M1571" s="5"/>
      <c r="N1571" s="5"/>
      <c r="O1571" s="5"/>
      <c r="P1571" s="5"/>
      <c r="Q1571" s="5"/>
      <c r="R1571" s="5"/>
      <c r="S1571" s="5"/>
      <c r="T1571" s="5"/>
      <c r="U1571" s="5"/>
      <c r="V1571" s="5"/>
      <c r="W1571" s="5"/>
      <c r="X1571" s="5"/>
      <c r="Y1571" s="5"/>
      <c r="Z1571" s="5"/>
    </row>
    <row r="1572" spans="1:26" ht="15.6" x14ac:dyDescent="0.3">
      <c r="A1572" s="18" t="s">
        <v>23</v>
      </c>
      <c r="B1572" s="25" t="s">
        <v>1575</v>
      </c>
      <c r="C1572" s="2" t="str">
        <f ca="1">IFERROR(__xludf.DUMMYFUNCTION("GOOGLETRANSLATE(B1572, ""bn"", ""en"")"),"Rakhines complain: Teacher insulted Buddhism")</f>
        <v>Rakhines complain: Teacher insulted Buddhism</v>
      </c>
      <c r="D1572" s="5"/>
      <c r="E1572" s="5"/>
      <c r="F1572" s="5"/>
      <c r="G1572" s="5"/>
      <c r="H1572" s="5"/>
      <c r="I1572" s="5"/>
      <c r="J1572" s="5"/>
      <c r="K1572" s="5"/>
      <c r="L1572" s="5"/>
      <c r="M1572" s="5"/>
      <c r="N1572" s="5"/>
      <c r="O1572" s="5"/>
      <c r="P1572" s="5"/>
      <c r="Q1572" s="5"/>
      <c r="R1572" s="5"/>
      <c r="S1572" s="5"/>
      <c r="T1572" s="5"/>
      <c r="U1572" s="5"/>
      <c r="V1572" s="5"/>
      <c r="W1572" s="5"/>
      <c r="X1572" s="5"/>
      <c r="Y1572" s="5"/>
      <c r="Z1572" s="5"/>
    </row>
    <row r="1573" spans="1:26" ht="15.6" x14ac:dyDescent="0.3">
      <c r="A1573" s="18" t="s">
        <v>5</v>
      </c>
      <c r="B1573" s="25" t="s">
        <v>1576</v>
      </c>
      <c r="C1573" s="2" t="str">
        <f ca="1">IFERROR(__xludf.DUMMYFUNCTION("GOOGLETRANSLATE(B1573, ""bn"", ""en"")"),"According to the Hindu Buddhist Christian Oikya Parishad, many Hindus have been brutally killed because of their religious identity, and Dipankar Ghosh said the investigation concluded that these incidents were not suicides, but planned killings.")</f>
        <v>According to the Hindu Buddhist Christian Oikya Parishad, many Hindus have been brutally killed because of their religious identity, and Dipankar Ghosh said the investigation concluded that these incidents were not suicides, but planned killings.</v>
      </c>
      <c r="D1573" s="5"/>
      <c r="E1573" s="5"/>
      <c r="F1573" s="5"/>
      <c r="G1573" s="5"/>
      <c r="H1573" s="5"/>
      <c r="I1573" s="5"/>
      <c r="J1573" s="5"/>
      <c r="K1573" s="5"/>
      <c r="L1573" s="5"/>
      <c r="M1573" s="5"/>
      <c r="N1573" s="5"/>
      <c r="O1573" s="5"/>
      <c r="P1573" s="5"/>
      <c r="Q1573" s="5"/>
      <c r="R1573" s="5"/>
      <c r="S1573" s="5"/>
      <c r="T1573" s="5"/>
      <c r="U1573" s="5"/>
      <c r="V1573" s="5"/>
      <c r="W1573" s="5"/>
      <c r="X1573" s="5"/>
      <c r="Y1573" s="5"/>
      <c r="Z1573" s="5"/>
    </row>
    <row r="1574" spans="1:26" ht="15.6" x14ac:dyDescent="0.3">
      <c r="A1574" s="19" t="s">
        <v>5</v>
      </c>
      <c r="B1574" s="26" t="s">
        <v>1577</v>
      </c>
      <c r="C1574" s="2" t="str">
        <f ca="1">IFERROR(__xludf.DUMMYFUNCTION("GOOGLETRANSLATE(B1574, ""bn"", ""en"")"),"A 75-year-old Naveen Sadhu, who was reciting from the Gita, was similarly shot dead. The attackers surrounded the village priest and forced them to break the idols they were worshiping. The priests were then shot dead.")</f>
        <v>A 75-year-old Naveen Sadhu, who was reciting from the Gita, was similarly shot dead. The attackers surrounded the village priest and forced them to break the idols they were worshiping. The priests were then shot dead.</v>
      </c>
      <c r="D1574" s="7"/>
      <c r="E1574" s="5"/>
      <c r="F1574" s="5"/>
      <c r="G1574" s="5"/>
      <c r="H1574" s="5"/>
      <c r="I1574" s="5"/>
      <c r="J1574" s="5"/>
      <c r="K1574" s="5"/>
      <c r="L1574" s="5"/>
      <c r="M1574" s="5"/>
      <c r="N1574" s="5"/>
      <c r="O1574" s="5"/>
      <c r="P1574" s="5"/>
      <c r="Q1574" s="5"/>
      <c r="R1574" s="5"/>
      <c r="S1574" s="5"/>
      <c r="T1574" s="5"/>
      <c r="U1574" s="5"/>
      <c r="V1574" s="5"/>
      <c r="W1574" s="5"/>
      <c r="X1574" s="5"/>
      <c r="Y1574" s="5"/>
      <c r="Z1574" s="5"/>
    </row>
    <row r="1575" spans="1:26" ht="15.6" x14ac:dyDescent="0.3">
      <c r="A1575" s="19" t="s">
        <v>8</v>
      </c>
      <c r="B1575" s="26" t="s">
        <v>1578</v>
      </c>
      <c r="C1575" s="2" t="str">
        <f ca="1">IFERROR(__xludf.DUMMYFUNCTION("GOOGLETRANSLATE(B1575, ""bn"", ""en"")"),"Thousands of Hindu men and women protested the idol vandalism and demanded justice for those involved since the morning after the incident. In this incident, the police arrested Khizir Shah and his son Zahidul Islam and Umar Khandkar of Shahpur area of ​​"&amp;"the upazila and Ansar members Rajib and Bajlu on duty.")</f>
        <v>Thousands of Hindu men and women protested the idol vandalism and demanded justice for those involved since the morning after the incident. In this incident, the police arrested Khizir Shah and his son Zahidul Islam and Umar Khandkar of Shahpur area of ​​the upazila and Ansar members Rajib and Bajlu on duty.</v>
      </c>
      <c r="D1575" s="7"/>
      <c r="E1575" s="7"/>
      <c r="F1575" s="7"/>
      <c r="G1575" s="7"/>
      <c r="H1575" s="7"/>
      <c r="I1575" s="7"/>
      <c r="J1575" s="5"/>
      <c r="K1575" s="5"/>
      <c r="L1575" s="5"/>
      <c r="M1575" s="5"/>
      <c r="N1575" s="5"/>
      <c r="O1575" s="5"/>
      <c r="P1575" s="5"/>
      <c r="Q1575" s="5"/>
      <c r="R1575" s="5"/>
      <c r="S1575" s="5"/>
      <c r="T1575" s="5"/>
      <c r="U1575" s="5"/>
      <c r="V1575" s="5"/>
      <c r="W1575" s="5"/>
      <c r="X1575" s="5"/>
      <c r="Y1575" s="5"/>
      <c r="Z1575" s="5"/>
    </row>
    <row r="1576" spans="1:26" ht="15.6" x14ac:dyDescent="0.3">
      <c r="A1576" s="18" t="s">
        <v>3</v>
      </c>
      <c r="B1576" s="25" t="s">
        <v>1579</v>
      </c>
      <c r="C1576" s="2" t="str">
        <f ca="1">IFERROR(__xludf.DUMMYFUNCTION("GOOGLETRANSLATE(B1576, ""bn"", ""en"")"),"The basic teaching of religion is to instill love and kindness in human hearts, through which social harmony and unity are established, and it does not seek to create violence or enmity in any way, but between all people. Encourages to promote peace and r"&amp;"espect.")</f>
        <v>The basic teaching of religion is to instill love and kindness in human hearts, through which social harmony and unity are established, and it does not seek to create violence or enmity in any way, but between all people. Encourages to promote peace and respect.</v>
      </c>
      <c r="D1576" s="5"/>
      <c r="E1576" s="5"/>
      <c r="F1576" s="5"/>
      <c r="G1576" s="5"/>
      <c r="H1576" s="5"/>
      <c r="I1576" s="5"/>
      <c r="J1576" s="5"/>
      <c r="K1576" s="5"/>
      <c r="L1576" s="5"/>
      <c r="M1576" s="5"/>
      <c r="N1576" s="5"/>
      <c r="O1576" s="5"/>
      <c r="P1576" s="5"/>
      <c r="Q1576" s="5"/>
      <c r="R1576" s="5"/>
      <c r="S1576" s="5"/>
      <c r="T1576" s="5"/>
      <c r="U1576" s="5"/>
      <c r="V1576" s="5"/>
      <c r="W1576" s="5"/>
      <c r="X1576" s="5"/>
      <c r="Y1576" s="5"/>
      <c r="Z1576" s="5"/>
    </row>
    <row r="1577" spans="1:26" ht="15.6" x14ac:dyDescent="0.3">
      <c r="A1577" s="18" t="s">
        <v>23</v>
      </c>
      <c r="B1577" s="24" t="s">
        <v>1580</v>
      </c>
      <c r="C1577" s="2" t="str">
        <f ca="1">IFERROR(__xludf.DUMMYFUNCTION("GOOGLETRANSLATE(B1577, ""bn"", ""en"")"),"Muslims often show contempt for other religions and denigrate their religious practices.")</f>
        <v>Muslims often show contempt for other religions and denigrate their religious practices.</v>
      </c>
      <c r="D1577" s="5"/>
      <c r="E1577" s="5"/>
      <c r="F1577" s="5"/>
      <c r="G1577" s="5"/>
      <c r="H1577" s="5"/>
      <c r="I1577" s="5"/>
      <c r="J1577" s="5"/>
      <c r="K1577" s="5"/>
      <c r="L1577" s="5"/>
      <c r="M1577" s="5"/>
      <c r="N1577" s="5"/>
      <c r="O1577" s="5"/>
      <c r="P1577" s="5"/>
      <c r="Q1577" s="5"/>
      <c r="R1577" s="5"/>
      <c r="S1577" s="5"/>
      <c r="T1577" s="5"/>
      <c r="U1577" s="5"/>
      <c r="V1577" s="5"/>
      <c r="W1577" s="5"/>
      <c r="X1577" s="5"/>
      <c r="Y1577" s="5"/>
      <c r="Z1577" s="5"/>
    </row>
    <row r="1578" spans="1:26" ht="15.6" x14ac:dyDescent="0.3">
      <c r="A1578" s="18" t="s">
        <v>5</v>
      </c>
      <c r="B1578" s="25" t="s">
        <v>1581</v>
      </c>
      <c r="C1578" s="2" t="str">
        <f ca="1">IFERROR(__xludf.DUMMYFUNCTION("GOOGLETRANSLATE(B1578, ""bn"", ""en"")"),"Clashes broke out when the attackers were intercepted by the police. 3 people were killed and 17 policemen were injured in the clash. [31] After that, the administration issued Section 144 in Hajiganj municipal area. At the same time, two platoons of BGB "&amp;"were deployed to maintain the law and order situation on Wednesday night.")</f>
        <v>Clashes broke out when the attackers were intercepted by the police. 3 people were killed and 17 policemen were injured in the clash. [31] After that, the administration issued Section 144 in Hajiganj municipal area. At the same time, two platoons of BGB were deployed to maintain the law and order situation on Wednesday night.</v>
      </c>
      <c r="D1578" s="2"/>
      <c r="E1578" s="2"/>
      <c r="F1578" s="2"/>
      <c r="G1578" s="2"/>
      <c r="H1578" s="3"/>
      <c r="I1578" s="3"/>
      <c r="J1578" s="3"/>
      <c r="K1578" s="3"/>
      <c r="L1578" s="3"/>
      <c r="M1578" s="3"/>
      <c r="N1578" s="3"/>
      <c r="O1578" s="3"/>
      <c r="P1578" s="3"/>
      <c r="Q1578" s="3"/>
      <c r="R1578" s="3"/>
      <c r="S1578" s="3"/>
      <c r="T1578" s="3"/>
      <c r="U1578" s="3"/>
      <c r="V1578" s="3"/>
      <c r="W1578" s="3"/>
      <c r="X1578" s="3"/>
      <c r="Y1578" s="3"/>
      <c r="Z1578" s="3"/>
    </row>
    <row r="1579" spans="1:26" ht="15.6" x14ac:dyDescent="0.3">
      <c r="A1579" s="19" t="s">
        <v>5</v>
      </c>
      <c r="B1579" s="26" t="s">
        <v>1582</v>
      </c>
      <c r="C1579" s="2" t="str">
        <f ca="1">IFERROR(__xludf.DUMMYFUNCTION("GOOGLETRANSLATE(B1579, ""bn"", ""en"")"),"A lack of tolerance and the spread of religious extremism have divided society, resulting in the premature end of many lives.")</f>
        <v>A lack of tolerance and the spread of religious extremism have divided society, resulting in the premature end of many lives.</v>
      </c>
      <c r="D1579" s="5"/>
      <c r="E1579" s="5"/>
      <c r="F1579" s="5"/>
      <c r="G1579" s="5"/>
      <c r="H1579" s="5"/>
      <c r="I1579" s="5"/>
      <c r="J1579" s="5"/>
      <c r="K1579" s="5"/>
      <c r="L1579" s="5"/>
      <c r="M1579" s="5"/>
      <c r="N1579" s="5"/>
      <c r="O1579" s="5"/>
      <c r="P1579" s="5"/>
      <c r="Q1579" s="5"/>
      <c r="R1579" s="5"/>
      <c r="S1579" s="5"/>
      <c r="T1579" s="5"/>
      <c r="U1579" s="5"/>
      <c r="V1579" s="5"/>
      <c r="W1579" s="5"/>
      <c r="X1579" s="5"/>
      <c r="Y1579" s="5"/>
      <c r="Z1579" s="5"/>
    </row>
    <row r="1580" spans="1:26" ht="15.6" x14ac:dyDescent="0.3">
      <c r="A1580" s="18" t="s">
        <v>23</v>
      </c>
      <c r="B1580" s="24" t="s">
        <v>170</v>
      </c>
      <c r="C1580" s="2" t="str">
        <f ca="1">IFERROR(__xludf.DUMMYFUNCTION("GOOGLETRANSLATE(B1580, ""bn"", ""en"")"),"Christian missionaries are damaging religious unity and creating division in the country in the name of conversion.")</f>
        <v>Christian missionaries are damaging religious unity and creating division in the country in the name of conversion.</v>
      </c>
      <c r="D1580" s="5"/>
      <c r="E1580" s="5"/>
      <c r="F1580" s="5"/>
      <c r="G1580" s="5"/>
      <c r="H1580" s="5"/>
      <c r="I1580" s="5"/>
      <c r="J1580" s="5"/>
      <c r="K1580" s="5"/>
      <c r="L1580" s="5"/>
      <c r="M1580" s="5"/>
      <c r="N1580" s="5"/>
      <c r="O1580" s="5"/>
      <c r="P1580" s="5"/>
      <c r="Q1580" s="5"/>
      <c r="R1580" s="5"/>
      <c r="S1580" s="5"/>
      <c r="T1580" s="5"/>
      <c r="U1580" s="5"/>
      <c r="V1580" s="5"/>
      <c r="W1580" s="5"/>
      <c r="X1580" s="5"/>
      <c r="Y1580" s="5"/>
      <c r="Z1580" s="5"/>
    </row>
    <row r="1581" spans="1:26" ht="15.6" x14ac:dyDescent="0.3">
      <c r="A1581" s="18" t="s">
        <v>23</v>
      </c>
      <c r="B1581" s="25" t="s">
        <v>1583</v>
      </c>
      <c r="C1581" s="2" t="str">
        <f ca="1">IFERROR(__xludf.DUMMYFUNCTION("GOOGLETRANSLATE(B1581, ""bn"", ""en"")"),"The sad thing is that most of those who beat may have Mohammed added to their names, meaning they killed on seeing a Muslim.")</f>
        <v>The sad thing is that most of those who beat may have Mohammed added to their names, meaning they killed on seeing a Muslim.</v>
      </c>
      <c r="D1581" s="5"/>
      <c r="E1581" s="5"/>
      <c r="F1581" s="5"/>
      <c r="G1581" s="5"/>
      <c r="H1581" s="5"/>
      <c r="I1581" s="5"/>
      <c r="J1581" s="5"/>
      <c r="K1581" s="5"/>
      <c r="L1581" s="5"/>
      <c r="M1581" s="5"/>
      <c r="N1581" s="5"/>
      <c r="O1581" s="5"/>
      <c r="P1581" s="5"/>
      <c r="Q1581" s="5"/>
      <c r="R1581" s="5"/>
      <c r="S1581" s="5"/>
      <c r="T1581" s="5"/>
      <c r="U1581" s="5"/>
      <c r="V1581" s="5"/>
      <c r="W1581" s="5"/>
      <c r="X1581" s="5"/>
      <c r="Y1581" s="5"/>
      <c r="Z1581" s="5"/>
    </row>
    <row r="1582" spans="1:26" ht="15.6" x14ac:dyDescent="0.3">
      <c r="A1582" s="18" t="s">
        <v>5</v>
      </c>
      <c r="B1582" s="24" t="s">
        <v>1584</v>
      </c>
      <c r="C1582" s="2" t="str">
        <f ca="1">IFERROR(__xludf.DUMMYFUNCTION("GOOGLETRANSLATE(B1582, ""bn"", ""en"")"),"In August 2017, a youth was publicly killed for his apostasy, in which 15 people were killed during protests.")</f>
        <v>In August 2017, a youth was publicly killed for his apostasy, in which 15 people were killed during protests.</v>
      </c>
      <c r="D1582" s="5"/>
      <c r="E1582" s="5"/>
      <c r="F1582" s="5"/>
      <c r="G1582" s="5"/>
      <c r="H1582" s="5"/>
      <c r="I1582" s="5"/>
      <c r="J1582" s="5"/>
      <c r="K1582" s="5"/>
      <c r="L1582" s="5"/>
      <c r="M1582" s="5"/>
      <c r="N1582" s="5"/>
      <c r="O1582" s="5"/>
      <c r="P1582" s="5"/>
      <c r="Q1582" s="5"/>
      <c r="R1582" s="5"/>
      <c r="S1582" s="5"/>
      <c r="T1582" s="5"/>
      <c r="U1582" s="5"/>
      <c r="V1582" s="5"/>
      <c r="W1582" s="5"/>
      <c r="X1582" s="5"/>
      <c r="Y1582" s="5"/>
      <c r="Z1582" s="5"/>
    </row>
    <row r="1583" spans="1:26" ht="15.6" x14ac:dyDescent="0.3">
      <c r="A1583" s="19" t="s">
        <v>8</v>
      </c>
      <c r="B1583" s="26" t="s">
        <v>1585</v>
      </c>
      <c r="C1583" s="2" t="str">
        <f ca="1">IFERROR(__xludf.DUMMYFUNCTION("GOOGLETRANSLATE(B1583, ""bn"", ""en"")"),"In Pirganj of Rangpur, an idol was vandalized in a temple of Hindu community to hang a person. The matter has been reported to the local administration but they are silent. Sudhijans fear that the bloodshed could turn into communal clashes at any moment. "&amp;"The incident took place in Jotidanga village of Panchgachi union of the upazila.")</f>
        <v>In Pirganj of Rangpur, an idol was vandalized in a temple of Hindu community to hang a person. The matter has been reported to the local administration but they are silent. Sudhijans fear that the bloodshed could turn into communal clashes at any moment. The incident took place in Jotidanga village of Panchgachi union of the upazila.</v>
      </c>
      <c r="D1583" s="7"/>
      <c r="E1583" s="7"/>
      <c r="F1583" s="7"/>
      <c r="G1583" s="7"/>
      <c r="H1583" s="7"/>
      <c r="I1583" s="7"/>
      <c r="J1583" s="7"/>
      <c r="K1583" s="5"/>
      <c r="L1583" s="5"/>
      <c r="M1583" s="5"/>
      <c r="N1583" s="5"/>
      <c r="O1583" s="5"/>
      <c r="P1583" s="5"/>
      <c r="Q1583" s="5"/>
      <c r="R1583" s="5"/>
      <c r="S1583" s="5"/>
      <c r="T1583" s="5"/>
      <c r="U1583" s="5"/>
      <c r="V1583" s="5"/>
      <c r="W1583" s="5"/>
      <c r="X1583" s="5"/>
      <c r="Y1583" s="5"/>
      <c r="Z1583" s="5"/>
    </row>
    <row r="1584" spans="1:26" ht="15.6" x14ac:dyDescent="0.3">
      <c r="A1584" s="19" t="s">
        <v>8</v>
      </c>
      <c r="B1584" s="26" t="s">
        <v>1586</v>
      </c>
      <c r="C1584" s="2" t="str">
        <f ca="1">IFERROR(__xludf.DUMMYFUNCTION("GOOGLETRANSLATE(B1584, ""bn"", ""en"")"),"It continued from the first century to the beginning of the fourth century, when the religion was legalized by the Edict of Milan, eventually becoming the state church of the Roman Empire. Many Christians fled Roman persecution by immigrating to the Persi"&amp;"an Empire where, for a century and a half after Constantine's conversion, they were persecuted under the Sassanids, with thousands losing their lives. was lost")</f>
        <v>It continued from the first century to the beginning of the fourth century, when the religion was legalized by the Edict of Milan, eventually becoming the state church of the Roman Empire. Many Christians fled Roman persecution by immigrating to the Persian Empire where, for a century and a half after Constantine's conversion, they were persecuted under the Sassanids, with thousands losing their lives. was lost</v>
      </c>
      <c r="D1584" s="7"/>
      <c r="E1584" s="7"/>
      <c r="F1584" s="7"/>
      <c r="G1584" s="7"/>
      <c r="H1584" s="7"/>
      <c r="I1584" s="7"/>
      <c r="J1584" s="7"/>
      <c r="K1584" s="7"/>
      <c r="L1584" s="7"/>
      <c r="M1584" s="7"/>
      <c r="N1584" s="7"/>
      <c r="O1584" s="7"/>
      <c r="P1584" s="7"/>
      <c r="Q1584" s="7"/>
      <c r="R1584" s="7"/>
      <c r="S1584" s="7"/>
      <c r="T1584" s="7"/>
      <c r="U1584" s="5"/>
      <c r="V1584" s="5"/>
      <c r="W1584" s="5"/>
      <c r="X1584" s="5"/>
      <c r="Y1584" s="5"/>
      <c r="Z1584" s="5"/>
    </row>
    <row r="1585" spans="1:26" ht="15.6" x14ac:dyDescent="0.3">
      <c r="A1585" s="18" t="s">
        <v>3</v>
      </c>
      <c r="B1585" s="25" t="s">
        <v>1587</v>
      </c>
      <c r="C1585" s="2" t="str">
        <f ca="1">IFERROR(__xludf.DUMMYFUNCTION("GOOGLETRANSLATE(B1585, ""bn"", ""en"")"),"When a Muslim child regains life in the blood of a Christian, when a Hindu old man regains life in the blood of a Muslim brother, and when a Christian regains life in the blood of a Hindu")</f>
        <v>When a Muslim child regains life in the blood of a Christian, when a Hindu old man regains life in the blood of a Muslim brother, and when a Christian regains life in the blood of a Hindu</v>
      </c>
      <c r="D1585" s="5"/>
      <c r="E1585" s="5"/>
      <c r="F1585" s="5"/>
      <c r="G1585" s="5"/>
      <c r="H1585" s="5"/>
      <c r="I1585" s="5"/>
      <c r="J1585" s="5"/>
      <c r="K1585" s="5"/>
      <c r="L1585" s="5"/>
      <c r="M1585" s="5"/>
      <c r="N1585" s="5"/>
      <c r="O1585" s="5"/>
      <c r="P1585" s="5"/>
      <c r="Q1585" s="5"/>
      <c r="R1585" s="5"/>
      <c r="S1585" s="5"/>
      <c r="T1585" s="5"/>
      <c r="U1585" s="5"/>
      <c r="V1585" s="5"/>
      <c r="W1585" s="5"/>
      <c r="X1585" s="5"/>
      <c r="Y1585" s="5"/>
      <c r="Z1585" s="5"/>
    </row>
    <row r="1586" spans="1:26" ht="15.6" x14ac:dyDescent="0.3">
      <c r="A1586" s="19" t="s">
        <v>23</v>
      </c>
      <c r="B1586" s="26" t="s">
        <v>1588</v>
      </c>
      <c r="C1586" s="2" t="str">
        <f ca="1">IFERROR(__xludf.DUMMYFUNCTION("GOOGLETRANSLATE(B1586, ""bn"", ""en"")"),"Despising or belittling the Qur'an will make a person fall outside Islam and be considered an apostate in Islamic Shari'a. Punishment for apostates is death penalty in Islamic law.")</f>
        <v>Despising or belittling the Qur'an will make a person fall outside Islam and be considered an apostate in Islamic Shari'a. Punishment for apostates is death penalty in Islamic law.</v>
      </c>
      <c r="D1586" s="7"/>
      <c r="E1586" s="7"/>
      <c r="F1586" s="7"/>
      <c r="G1586" s="7"/>
      <c r="H1586" s="7"/>
      <c r="I1586" s="7"/>
      <c r="J1586" s="7"/>
      <c r="K1586" s="7"/>
      <c r="L1586" s="7"/>
      <c r="M1586" s="7"/>
      <c r="N1586" s="7"/>
      <c r="O1586" s="7"/>
      <c r="P1586" s="5"/>
      <c r="Q1586" s="5"/>
      <c r="R1586" s="5"/>
      <c r="S1586" s="5"/>
      <c r="T1586" s="5"/>
      <c r="U1586" s="5"/>
      <c r="V1586" s="5"/>
      <c r="W1586" s="5"/>
      <c r="X1586" s="5"/>
      <c r="Y1586" s="5"/>
      <c r="Z1586" s="5"/>
    </row>
    <row r="1587" spans="1:26" ht="15.6" x14ac:dyDescent="0.3">
      <c r="A1587" s="18" t="s">
        <v>23</v>
      </c>
      <c r="B1587" s="25" t="s">
        <v>1589</v>
      </c>
      <c r="C1587" s="2" t="str">
        <f ca="1">IFERROR(__xludf.DUMMYFUNCTION("GOOGLETRANSLATE(B1587, ""bn"", ""en"")"),"Nowhere does it say not to allow or ban Ramadan related events. But for the past few days, dirty propaganda has been going on in Facebook.")</f>
        <v>Nowhere does it say not to allow or ban Ramadan related events. But for the past few days, dirty propaganda has been going on in Facebook.</v>
      </c>
      <c r="D1587" s="5"/>
      <c r="E1587" s="5"/>
      <c r="F1587" s="5"/>
      <c r="G1587" s="5"/>
      <c r="H1587" s="5"/>
      <c r="I1587" s="5"/>
      <c r="J1587" s="5"/>
      <c r="K1587" s="5"/>
      <c r="L1587" s="5"/>
      <c r="M1587" s="5"/>
      <c r="N1587" s="5"/>
      <c r="O1587" s="5"/>
      <c r="P1587" s="5"/>
      <c r="Q1587" s="5"/>
      <c r="R1587" s="5"/>
      <c r="S1587" s="5"/>
      <c r="T1587" s="5"/>
      <c r="U1587" s="5"/>
      <c r="V1587" s="5"/>
      <c r="W1587" s="5"/>
      <c r="X1587" s="5"/>
      <c r="Y1587" s="5"/>
      <c r="Z1587" s="5"/>
    </row>
    <row r="1588" spans="1:26" ht="15.6" x14ac:dyDescent="0.3">
      <c r="A1588" s="19" t="s">
        <v>3</v>
      </c>
      <c r="B1588" s="26" t="s">
        <v>1590</v>
      </c>
      <c r="C1588" s="2" t="str">
        <f ca="1">IFERROR(__xludf.DUMMYFUNCTION("GOOGLETRANSLATE(B1588, ""bn"", ""en"")"),"Hinduism is the only religion in the world that does not insult or disrespect any other religion. Because your religion teaches you as good as Islam.")</f>
        <v>Hinduism is the only religion in the world that does not insult or disrespect any other religion. Because your religion teaches you as good as Islam.</v>
      </c>
      <c r="D1588" s="5"/>
      <c r="E1588" s="5"/>
      <c r="F1588" s="5"/>
      <c r="G1588" s="5"/>
      <c r="H1588" s="5"/>
      <c r="I1588" s="5"/>
      <c r="J1588" s="5"/>
      <c r="K1588" s="5"/>
      <c r="L1588" s="5"/>
      <c r="M1588" s="5"/>
      <c r="N1588" s="5"/>
      <c r="O1588" s="5"/>
      <c r="P1588" s="5"/>
      <c r="Q1588" s="5"/>
      <c r="R1588" s="5"/>
      <c r="S1588" s="5"/>
      <c r="T1588" s="5"/>
      <c r="U1588" s="5"/>
      <c r="V1588" s="5"/>
      <c r="W1588" s="5"/>
      <c r="X1588" s="5"/>
      <c r="Y1588" s="5"/>
      <c r="Z1588" s="5"/>
    </row>
    <row r="1589" spans="1:26" ht="15.6" x14ac:dyDescent="0.3">
      <c r="A1589" s="18" t="s">
        <v>5</v>
      </c>
      <c r="B1589" s="24" t="s">
        <v>1591</v>
      </c>
      <c r="C1589" s="2" t="str">
        <f ca="1">IFERROR(__xludf.DUMMYFUNCTION("GOOGLETRANSLATE(B1589, ""bn"", ""en"")"),"On 17 October 2021, Hindus were attacked in Hajiganj, Chandpur, vandalizing temples and houses, killing 11 people.")</f>
        <v>On 17 October 2021, Hindus were attacked in Hajiganj, Chandpur, vandalizing temples and houses, killing 11 people.</v>
      </c>
      <c r="D1589" s="5"/>
      <c r="E1589" s="5"/>
      <c r="F1589" s="5"/>
      <c r="G1589" s="5"/>
      <c r="H1589" s="5"/>
      <c r="I1589" s="5"/>
      <c r="J1589" s="5"/>
      <c r="K1589" s="5"/>
      <c r="L1589" s="5"/>
      <c r="M1589" s="5"/>
      <c r="N1589" s="5"/>
      <c r="O1589" s="5"/>
      <c r="P1589" s="5"/>
      <c r="Q1589" s="5"/>
      <c r="R1589" s="5"/>
      <c r="S1589" s="5"/>
      <c r="T1589" s="5"/>
      <c r="U1589" s="5"/>
      <c r="V1589" s="5"/>
      <c r="W1589" s="5"/>
      <c r="X1589" s="5"/>
      <c r="Y1589" s="5"/>
      <c r="Z1589" s="5"/>
    </row>
    <row r="1590" spans="1:26" ht="15.6" x14ac:dyDescent="0.3">
      <c r="A1590" s="18" t="s">
        <v>8</v>
      </c>
      <c r="B1590" s="25" t="s">
        <v>1592</v>
      </c>
      <c r="C1590" s="2" t="str">
        <f ca="1">IFERROR(__xludf.DUMMYFUNCTION("GOOGLETRANSLATE(B1590, ""bn"", ""en"")"),"In Lakshmipur district, five Hindu-owned jewelery shops were looted and a Hindu temple was attacked and looted in Chandraganj.[16] A Hindu temple was set on fire at Gayarchar in Raipur upazila after midnight on 28 February. is given")</f>
        <v>In Lakshmipur district, five Hindu-owned jewelery shops were looted and a Hindu temple was attacked and looted in Chandraganj.[16] A Hindu temple was set on fire at Gayarchar in Raipur upazila after midnight on 28 February. is given</v>
      </c>
      <c r="D1590" s="5"/>
      <c r="E1590" s="5"/>
      <c r="F1590" s="5"/>
      <c r="G1590" s="5"/>
      <c r="H1590" s="5"/>
      <c r="I1590" s="5"/>
      <c r="J1590" s="5"/>
      <c r="K1590" s="5"/>
      <c r="L1590" s="5"/>
      <c r="M1590" s="5"/>
      <c r="N1590" s="5"/>
      <c r="O1590" s="5"/>
      <c r="P1590" s="5"/>
      <c r="Q1590" s="5"/>
      <c r="R1590" s="5"/>
      <c r="S1590" s="5"/>
      <c r="T1590" s="5"/>
      <c r="U1590" s="5"/>
      <c r="V1590" s="5"/>
      <c r="W1590" s="5"/>
      <c r="X1590" s="5"/>
      <c r="Y1590" s="5"/>
      <c r="Z1590" s="5"/>
    </row>
    <row r="1591" spans="1:26" ht="15.6" x14ac:dyDescent="0.3">
      <c r="A1591" s="19" t="s">
        <v>3</v>
      </c>
      <c r="B1591" s="26" t="s">
        <v>1593</v>
      </c>
      <c r="C1591" s="2" t="str">
        <f ca="1">IFERROR(__xludf.DUMMYFUNCTION("GOOGLETRANSLATE(B1591, ""bn"", ""en"")"),"We want peace. If you also want, we are ready to protect religious coexistence in Bangladesh.")</f>
        <v>We want peace. If you also want, we are ready to protect religious coexistence in Bangladesh.</v>
      </c>
      <c r="D1591" s="7"/>
      <c r="E1591" s="7"/>
      <c r="F1591" s="5"/>
      <c r="G1591" s="5"/>
      <c r="H1591" s="5"/>
      <c r="I1591" s="5"/>
      <c r="J1591" s="5"/>
      <c r="K1591" s="5"/>
      <c r="L1591" s="5"/>
      <c r="M1591" s="5"/>
      <c r="N1591" s="5"/>
      <c r="O1591" s="5"/>
      <c r="P1591" s="5"/>
      <c r="Q1591" s="5"/>
      <c r="R1591" s="5"/>
      <c r="S1591" s="5"/>
      <c r="T1591" s="5"/>
      <c r="U1591" s="5"/>
      <c r="V1591" s="5"/>
      <c r="W1591" s="5"/>
      <c r="X1591" s="5"/>
      <c r="Y1591" s="5"/>
      <c r="Z1591" s="5"/>
    </row>
    <row r="1592" spans="1:26" ht="15.6" x14ac:dyDescent="0.3">
      <c r="A1592" s="19" t="s">
        <v>23</v>
      </c>
      <c r="B1592" s="26" t="s">
        <v>1594</v>
      </c>
      <c r="C1592" s="2" t="str">
        <f ca="1">IFERROR(__xludf.DUMMYFUNCTION("GOOGLETRANSLATE(B1592, ""bn"", ""en"")"),"Right, grandpa. They are now trying to create differences between Hindus and Muslims to achieve their own interests.")</f>
        <v>Right, grandpa. They are now trying to create differences between Hindus and Muslims to achieve their own interests.</v>
      </c>
      <c r="D1592" s="5"/>
      <c r="E1592" s="5"/>
      <c r="F1592" s="5"/>
      <c r="G1592" s="5"/>
      <c r="H1592" s="5"/>
      <c r="I1592" s="5"/>
      <c r="J1592" s="5"/>
      <c r="K1592" s="5"/>
      <c r="L1592" s="5"/>
      <c r="M1592" s="5"/>
      <c r="N1592" s="5"/>
      <c r="O1592" s="5"/>
      <c r="P1592" s="5"/>
      <c r="Q1592" s="5"/>
      <c r="R1592" s="5"/>
      <c r="S1592" s="5"/>
      <c r="T1592" s="5"/>
      <c r="U1592" s="5"/>
      <c r="V1592" s="5"/>
      <c r="W1592" s="5"/>
      <c r="X1592" s="5"/>
      <c r="Y1592" s="5"/>
      <c r="Z1592" s="5"/>
    </row>
    <row r="1593" spans="1:26" ht="15.6" x14ac:dyDescent="0.3">
      <c r="A1593" s="18" t="s">
        <v>8</v>
      </c>
      <c r="B1593" s="24" t="s">
        <v>1595</v>
      </c>
      <c r="C1593" s="2" t="str">
        <f ca="1">IFERROR(__xludf.DUMMYFUNCTION("GOOGLETRANSLATE(B1593, ""bn"", ""en"")"),"An attempt was made to harass Christians by placing idols of Hindu gods around a church in Habiganj.")</f>
        <v>An attempt was made to harass Christians by placing idols of Hindu gods around a church in Habiganj.</v>
      </c>
      <c r="D1593" s="5"/>
      <c r="E1593" s="5"/>
      <c r="F1593" s="5"/>
      <c r="G1593" s="5"/>
      <c r="H1593" s="5"/>
      <c r="I1593" s="5"/>
      <c r="J1593" s="5"/>
      <c r="K1593" s="5"/>
      <c r="L1593" s="5"/>
      <c r="M1593" s="5"/>
      <c r="N1593" s="5"/>
      <c r="O1593" s="5"/>
      <c r="P1593" s="5"/>
      <c r="Q1593" s="5"/>
      <c r="R1593" s="5"/>
      <c r="S1593" s="5"/>
      <c r="T1593" s="5"/>
      <c r="U1593" s="5"/>
      <c r="V1593" s="5"/>
      <c r="W1593" s="5"/>
      <c r="X1593" s="5"/>
      <c r="Y1593" s="5"/>
      <c r="Z1593" s="5"/>
    </row>
    <row r="1594" spans="1:26" ht="15.6" x14ac:dyDescent="0.3">
      <c r="A1594" s="18" t="s">
        <v>23</v>
      </c>
      <c r="B1594" s="25" t="s">
        <v>1596</v>
      </c>
      <c r="C1594" s="2" t="str">
        <f ca="1">IFERROR(__xludf.DUMMYFUNCTION("GOOGLETRANSLATE(B1594, ""bn"", ""en"")"),"Practices like Tabligh, Tanjim, Shuddhi (Hindu-Muslim communal practices) have started in religion and as a result we have reached this desperate state.")</f>
        <v>Practices like Tabligh, Tanjim, Shuddhi (Hindu-Muslim communal practices) have started in religion and as a result we have reached this desperate state.</v>
      </c>
      <c r="D1594" s="5"/>
      <c r="E1594" s="5"/>
      <c r="F1594" s="5"/>
      <c r="G1594" s="5"/>
      <c r="H1594" s="5"/>
      <c r="I1594" s="5"/>
      <c r="J1594" s="5"/>
      <c r="K1594" s="5"/>
      <c r="L1594" s="5"/>
      <c r="M1594" s="5"/>
      <c r="N1594" s="5"/>
      <c r="O1594" s="5"/>
      <c r="P1594" s="5"/>
      <c r="Q1594" s="5"/>
      <c r="R1594" s="5"/>
      <c r="S1594" s="5"/>
      <c r="T1594" s="5"/>
      <c r="U1594" s="5"/>
      <c r="V1594" s="5"/>
      <c r="W1594" s="5"/>
      <c r="X1594" s="5"/>
      <c r="Y1594" s="5"/>
      <c r="Z1594" s="5"/>
    </row>
    <row r="1595" spans="1:26" ht="15.6" x14ac:dyDescent="0.3">
      <c r="A1595" s="18" t="s">
        <v>3</v>
      </c>
      <c r="B1595" s="25" t="s">
        <v>1597</v>
      </c>
      <c r="C1595" s="2" t="str">
        <f ca="1">IFERROR(__xludf.DUMMYFUNCTION("GOOGLETRANSLATE(B1595, ""bn"", ""en"")"),"Durga Puja, the biggest festival of Hindus across the country, is being celebrated with grandeur. The administration and police administration are working day and night for the smooth completion of the puja.")</f>
        <v>Durga Puja, the biggest festival of Hindus across the country, is being celebrated with grandeur. The administration and police administration are working day and night for the smooth completion of the puja.</v>
      </c>
      <c r="D1595" s="2"/>
      <c r="E1595" s="2"/>
      <c r="F1595" s="2"/>
      <c r="G1595" s="2"/>
      <c r="H1595" s="5"/>
      <c r="I1595" s="5"/>
      <c r="J1595" s="5"/>
      <c r="K1595" s="5"/>
      <c r="L1595" s="5"/>
      <c r="M1595" s="5"/>
      <c r="N1595" s="5"/>
      <c r="O1595" s="5"/>
      <c r="P1595" s="5"/>
      <c r="Q1595" s="5"/>
      <c r="R1595" s="5"/>
      <c r="S1595" s="5"/>
      <c r="T1595" s="5"/>
      <c r="U1595" s="5"/>
      <c r="V1595" s="5"/>
      <c r="W1595" s="5"/>
      <c r="X1595" s="5"/>
      <c r="Y1595" s="5"/>
      <c r="Z1595" s="5"/>
    </row>
    <row r="1596" spans="1:26" ht="15.6" x14ac:dyDescent="0.3">
      <c r="A1596" s="18" t="s">
        <v>8</v>
      </c>
      <c r="B1596" s="25" t="s">
        <v>1598</v>
      </c>
      <c r="C1596" s="2" t="str">
        <f ca="1">IFERROR(__xludf.DUMMYFUNCTION("GOOGLETRANSLATE(B1596, ""bn"", ""en"")"),"The situation began to deteriorate further when on 16th December, Hindus were indiscriminately killed, looted and set on fire in Gournadi, Jhalkathi, Nalchiti sub-divisions of Barisal district.")</f>
        <v>The situation began to deteriorate further when on 16th December, Hindus were indiscriminately killed, looted and set on fire in Gournadi, Jhalkathi, Nalchiti sub-divisions of Barisal district.</v>
      </c>
      <c r="D1596" s="5"/>
      <c r="E1596" s="5"/>
      <c r="F1596" s="5"/>
      <c r="G1596" s="5"/>
      <c r="H1596" s="5"/>
      <c r="I1596" s="5"/>
      <c r="J1596" s="5"/>
      <c r="K1596" s="5"/>
      <c r="L1596" s="5"/>
      <c r="M1596" s="5"/>
      <c r="N1596" s="5"/>
      <c r="O1596" s="5"/>
      <c r="P1596" s="5"/>
      <c r="Q1596" s="5"/>
      <c r="R1596" s="5"/>
      <c r="S1596" s="5"/>
      <c r="T1596" s="5"/>
      <c r="U1596" s="5"/>
      <c r="V1596" s="5"/>
      <c r="W1596" s="5"/>
      <c r="X1596" s="5"/>
      <c r="Y1596" s="5"/>
      <c r="Z1596" s="5"/>
    </row>
    <row r="1597" spans="1:26" ht="15.6" x14ac:dyDescent="0.3">
      <c r="A1597" s="19" t="s">
        <v>8</v>
      </c>
      <c r="B1597" s="26" t="s">
        <v>1599</v>
      </c>
      <c r="C1597" s="2" t="str">
        <f ca="1">IFERROR(__xludf.DUMMYFUNCTION("GOOGLETRANSLATE(B1597, ""bn"", ""en"")"),"According to supporters of the Muslim League, the Congress party was behind the violence in an attempt to weaken the fragile Muslim League government in Bengal. [43] Historian Jaya Chatterjee specifically blames Suhrawardy for failing to contain the riots"&amp;" and telling the police to remain silent, while noting that Hindu leaders were also to blame.")</f>
        <v>According to supporters of the Muslim League, the Congress party was behind the violence in an attempt to weaken the fragile Muslim League government in Bengal. [43] Historian Jaya Chatterjee specifically blames Suhrawardy for failing to contain the riots and telling the police to remain silent, while noting that Hindu leaders were also to blame.</v>
      </c>
      <c r="D1597" s="7"/>
      <c r="E1597" s="7"/>
      <c r="F1597" s="7"/>
      <c r="G1597" s="7"/>
      <c r="H1597" s="7"/>
      <c r="I1597" s="7"/>
      <c r="J1597" s="7"/>
      <c r="K1597" s="7"/>
      <c r="L1597" s="7"/>
      <c r="M1597" s="7"/>
      <c r="N1597" s="5"/>
      <c r="O1597" s="5"/>
      <c r="P1597" s="5"/>
      <c r="Q1597" s="5"/>
      <c r="R1597" s="5"/>
      <c r="S1597" s="5"/>
      <c r="T1597" s="5"/>
      <c r="U1597" s="5"/>
      <c r="V1597" s="5"/>
      <c r="W1597" s="5"/>
      <c r="X1597" s="5"/>
      <c r="Y1597" s="5"/>
      <c r="Z1597" s="5"/>
    </row>
    <row r="1598" spans="1:26" ht="15.6" x14ac:dyDescent="0.3">
      <c r="A1598" s="18" t="s">
        <v>8</v>
      </c>
      <c r="B1598" s="25" t="s">
        <v>1600</v>
      </c>
      <c r="C1598" s="2" t="str">
        <f ca="1">IFERROR(__xludf.DUMMYFUNCTION("GOOGLETRANSLATE(B1598, ""bn"", ""en"")"),"On the night of January 7, BNP and Jamaat Islam workers destroyed five Hindu shops and two houses in Kuptola Union of Sadar Upazila of Gaibandha in Gaibandha district.")</f>
        <v>On the night of January 7, BNP and Jamaat Islam workers destroyed five Hindu shops and two houses in Kuptola Union of Sadar Upazila of Gaibandha in Gaibandha district.</v>
      </c>
      <c r="D1598" s="2"/>
      <c r="E1598" s="2"/>
      <c r="F1598" s="2"/>
      <c r="G1598" s="2"/>
      <c r="H1598" s="5"/>
      <c r="I1598" s="5"/>
      <c r="J1598" s="5"/>
      <c r="K1598" s="5"/>
      <c r="L1598" s="5"/>
      <c r="M1598" s="5"/>
      <c r="N1598" s="5"/>
      <c r="O1598" s="5"/>
      <c r="P1598" s="5"/>
      <c r="Q1598" s="5"/>
      <c r="R1598" s="5"/>
      <c r="S1598" s="5"/>
      <c r="T1598" s="5"/>
      <c r="U1598" s="5"/>
      <c r="V1598" s="5"/>
      <c r="W1598" s="5"/>
      <c r="X1598" s="5"/>
      <c r="Y1598" s="5"/>
      <c r="Z1598" s="5"/>
    </row>
    <row r="1599" spans="1:26" ht="15.6" x14ac:dyDescent="0.3">
      <c r="A1599" s="19" t="s">
        <v>3</v>
      </c>
      <c r="B1599" s="26" t="s">
        <v>1601</v>
      </c>
      <c r="C1599" s="2" t="str">
        <f ca="1">IFERROR(__xludf.DUMMYFUNCTION("GOOGLETRANSLATE(B1599, ""bn"", ""en"")"),"In the comment section, some people asked to know the religion of Chanchal Chowdhury, so the so-called Sushil started the situation in the media and Facebook!")</f>
        <v>In the comment section, some people asked to know the religion of Chanchal Chowdhury, so the so-called Sushil started the situation in the media and Facebook!</v>
      </c>
      <c r="D1599" s="5"/>
      <c r="E1599" s="5"/>
      <c r="F1599" s="5"/>
      <c r="G1599" s="5"/>
      <c r="H1599" s="5"/>
      <c r="I1599" s="5"/>
      <c r="J1599" s="5"/>
      <c r="K1599" s="5"/>
      <c r="L1599" s="5"/>
      <c r="M1599" s="5"/>
      <c r="N1599" s="5"/>
      <c r="O1599" s="5"/>
      <c r="P1599" s="5"/>
      <c r="Q1599" s="5"/>
      <c r="R1599" s="5"/>
      <c r="S1599" s="5"/>
      <c r="T1599" s="5"/>
      <c r="U1599" s="5"/>
      <c r="V1599" s="5"/>
      <c r="W1599" s="5"/>
      <c r="X1599" s="5"/>
      <c r="Y1599" s="5"/>
      <c r="Z1599" s="5"/>
    </row>
    <row r="1600" spans="1:26" ht="15.6" x14ac:dyDescent="0.3">
      <c r="A1600" s="18" t="s">
        <v>3</v>
      </c>
      <c r="B1600" s="25" t="s">
        <v>1602</v>
      </c>
      <c r="C1600" s="2" t="str">
        <f ca="1">IFERROR(__xludf.DUMMYFUNCTION("GOOGLETRANSLATE(B1600, ""bn"", ""en"")"),"We do not hate people of any religion. We will practice our religion peacefully.")</f>
        <v>We do not hate people of any religion. We will practice our religion peacefully.</v>
      </c>
      <c r="D1600" s="5"/>
      <c r="E1600" s="5"/>
      <c r="F1600" s="5"/>
      <c r="G1600" s="5"/>
      <c r="H1600" s="5"/>
      <c r="I1600" s="5"/>
      <c r="J1600" s="5"/>
      <c r="K1600" s="5"/>
      <c r="L1600" s="5"/>
      <c r="M1600" s="5"/>
      <c r="N1600" s="5"/>
      <c r="O1600" s="5"/>
      <c r="P1600" s="5"/>
      <c r="Q1600" s="5"/>
      <c r="R1600" s="5"/>
      <c r="S1600" s="5"/>
      <c r="T1600" s="5"/>
      <c r="U1600" s="5"/>
      <c r="V1600" s="5"/>
      <c r="W1600" s="5"/>
      <c r="X1600" s="5"/>
      <c r="Y1600" s="5"/>
      <c r="Z1600" s="5"/>
    </row>
    <row r="1601" spans="1:26" ht="15.6" x14ac:dyDescent="0.3">
      <c r="A1601" s="18" t="s">
        <v>3</v>
      </c>
      <c r="B1601" s="25" t="s">
        <v>1603</v>
      </c>
      <c r="C1601" s="2" t="str">
        <f ca="1">IFERROR(__xludf.DUMMYFUNCTION("GOOGLETRANSLATE(B1601, ""bn"", ""en"")"),"Christianity says that love should make people's lives beautiful and meaningful, because true love does not cause harm or turmoil, rather it brings people together, helping to establish peace and unity.")</f>
        <v>Christianity says that love should make people's lives beautiful and meaningful, because true love does not cause harm or turmoil, rather it brings people together, helping to establish peace and unity.</v>
      </c>
      <c r="D1601" s="5"/>
      <c r="E1601" s="5"/>
      <c r="F1601" s="5"/>
      <c r="G1601" s="5"/>
      <c r="H1601" s="5"/>
      <c r="I1601" s="5"/>
      <c r="J1601" s="5"/>
      <c r="K1601" s="5"/>
      <c r="L1601" s="5"/>
      <c r="M1601" s="5"/>
      <c r="N1601" s="5"/>
      <c r="O1601" s="5"/>
      <c r="P1601" s="5"/>
      <c r="Q1601" s="5"/>
      <c r="R1601" s="5"/>
      <c r="S1601" s="5"/>
      <c r="T1601" s="5"/>
      <c r="U1601" s="5"/>
      <c r="V1601" s="5"/>
      <c r="W1601" s="5"/>
      <c r="X1601" s="5"/>
      <c r="Y1601" s="5"/>
      <c r="Z1601" s="5"/>
    </row>
    <row r="1602" spans="1:26" ht="15.6" x14ac:dyDescent="0.3">
      <c r="A1602" s="18" t="s">
        <v>23</v>
      </c>
      <c r="B1602" s="25" t="s">
        <v>1604</v>
      </c>
      <c r="C1602" s="2" t="str">
        <f ca="1">IFERROR(__xludf.DUMMYFUNCTION("GOOGLETRANSLATE(B1602, ""bn"", ""en"")"),"Can it ever be wise to invoke the severe punishment of Hell as opposed to the lesser suffering?")</f>
        <v>Can it ever be wise to invoke the severe punishment of Hell as opposed to the lesser suffering?</v>
      </c>
      <c r="D1602" s="2"/>
      <c r="E1602" s="2"/>
      <c r="F1602" s="2"/>
      <c r="G1602" s="2"/>
      <c r="H1602" s="3"/>
      <c r="I1602" s="3"/>
      <c r="J1602" s="3"/>
      <c r="K1602" s="3"/>
      <c r="L1602" s="3"/>
      <c r="M1602" s="3"/>
      <c r="N1602" s="3"/>
      <c r="O1602" s="3"/>
      <c r="P1602" s="3"/>
      <c r="Q1602" s="3"/>
      <c r="R1602" s="3"/>
      <c r="S1602" s="3"/>
      <c r="T1602" s="3"/>
      <c r="U1602" s="3"/>
      <c r="V1602" s="3"/>
      <c r="W1602" s="3"/>
      <c r="X1602" s="3"/>
      <c r="Y1602" s="3"/>
      <c r="Z1602" s="3"/>
    </row>
    <row r="1603" spans="1:26" ht="15.6" x14ac:dyDescent="0.3">
      <c r="A1603" s="18" t="s">
        <v>23</v>
      </c>
      <c r="B1603" s="25" t="s">
        <v>1605</v>
      </c>
      <c r="C1603" s="2" t="str">
        <f ca="1">IFERROR(__xludf.DUMMYFUNCTION("GOOGLETRANSLATE(B1603, ""bn"", ""en"")"),"But we people of all religions are bound by love. There is no way to accept such humiliation and I demand a fair trial immediately.")</f>
        <v>But we people of all religions are bound by love. There is no way to accept such humiliation and I demand a fair trial immediately.</v>
      </c>
      <c r="D1603" s="2"/>
      <c r="E1603" s="2"/>
      <c r="F1603" s="2"/>
      <c r="G1603" s="2"/>
      <c r="H1603" s="5"/>
      <c r="I1603" s="5"/>
      <c r="J1603" s="5"/>
      <c r="K1603" s="5"/>
      <c r="L1603" s="5"/>
      <c r="M1603" s="5"/>
      <c r="N1603" s="5"/>
      <c r="O1603" s="5"/>
      <c r="P1603" s="5"/>
      <c r="Q1603" s="5"/>
      <c r="R1603" s="5"/>
      <c r="S1603" s="5"/>
      <c r="T1603" s="5"/>
      <c r="U1603" s="5"/>
      <c r="V1603" s="5"/>
      <c r="W1603" s="5"/>
      <c r="X1603" s="5"/>
      <c r="Y1603" s="5"/>
      <c r="Z1603" s="5"/>
    </row>
    <row r="1604" spans="1:26" ht="15.6" x14ac:dyDescent="0.3">
      <c r="A1604" s="19" t="s">
        <v>3</v>
      </c>
      <c r="B1604" s="26" t="s">
        <v>1606</v>
      </c>
      <c r="C1604" s="2" t="str">
        <f ca="1">IFERROR(__xludf.DUMMYFUNCTION("GOOGLETRANSLATE(B1604, ""bn"", ""en"")"),"Everything in the heavens and the earth belongs to Him. Who is there, who will intercede with him without his permission? He knows everything that is before or behind the vision.")</f>
        <v>Everything in the heavens and the earth belongs to Him. Who is there, who will intercede with him without his permission? He knows everything that is before or behind the vision.</v>
      </c>
      <c r="D1604" s="5"/>
      <c r="E1604" s="5"/>
      <c r="F1604" s="5"/>
      <c r="G1604" s="5"/>
      <c r="H1604" s="5"/>
      <c r="I1604" s="5"/>
      <c r="J1604" s="5"/>
      <c r="K1604" s="5"/>
      <c r="L1604" s="5"/>
      <c r="M1604" s="5"/>
      <c r="N1604" s="5"/>
      <c r="O1604" s="5"/>
      <c r="P1604" s="5"/>
      <c r="Q1604" s="5"/>
      <c r="R1604" s="5"/>
      <c r="S1604" s="5"/>
      <c r="T1604" s="5"/>
      <c r="U1604" s="5"/>
      <c r="V1604" s="5"/>
      <c r="W1604" s="5"/>
      <c r="X1604" s="5"/>
      <c r="Y1604" s="5"/>
      <c r="Z1604" s="5"/>
    </row>
    <row r="1605" spans="1:26" ht="15.6" x14ac:dyDescent="0.3">
      <c r="A1605" s="18" t="s">
        <v>23</v>
      </c>
      <c r="B1605" s="25" t="s">
        <v>1607</v>
      </c>
      <c r="C1605" s="2" t="str">
        <f ca="1">IFERROR(__xludf.DUMMYFUNCTION("GOOGLETRANSLATE(B1605, ""bn"", ""en"")"),"Islam is not a religion, it is politics. If you can criticize the founder of BNP, you can also criticize the founder of Islamic politics.")</f>
        <v>Islam is not a religion, it is politics. If you can criticize the founder of BNP, you can also criticize the founder of Islamic politics.</v>
      </c>
      <c r="D1605" s="2"/>
      <c r="E1605" s="2"/>
      <c r="F1605" s="2"/>
      <c r="G1605" s="2"/>
      <c r="H1605" s="3"/>
      <c r="I1605" s="3"/>
      <c r="J1605" s="3"/>
      <c r="K1605" s="3"/>
      <c r="L1605" s="3"/>
      <c r="M1605" s="3"/>
      <c r="N1605" s="3"/>
      <c r="O1605" s="3"/>
      <c r="P1605" s="3"/>
      <c r="Q1605" s="3"/>
      <c r="R1605" s="3"/>
      <c r="S1605" s="3"/>
      <c r="T1605" s="3"/>
      <c r="U1605" s="3"/>
      <c r="V1605" s="3"/>
      <c r="W1605" s="3"/>
      <c r="X1605" s="3"/>
      <c r="Y1605" s="3"/>
      <c r="Z1605" s="3"/>
    </row>
    <row r="1606" spans="1:26" ht="15.6" x14ac:dyDescent="0.3">
      <c r="A1606" s="19" t="s">
        <v>8</v>
      </c>
      <c r="B1606" s="26" t="s">
        <v>1608</v>
      </c>
      <c r="C1606" s="2" t="str">
        <f ca="1">IFERROR(__xludf.DUMMYFUNCTION("GOOGLETRANSLATE(B1606, ""bn"", ""en"")"),"Speakers called on the Swedish government to apologize for the Koran burning within the next 24 hours. If this is not done, they warned that Bangladesh will not have any diplomatic relations with this country.")</f>
        <v>Speakers called on the Swedish government to apologize for the Koran burning within the next 24 hours. If this is not done, they warned that Bangladesh will not have any diplomatic relations with this country.</v>
      </c>
      <c r="D1606" s="5"/>
      <c r="E1606" s="5"/>
      <c r="F1606" s="5"/>
      <c r="G1606" s="5"/>
      <c r="H1606" s="5"/>
      <c r="I1606" s="5"/>
      <c r="J1606" s="5"/>
      <c r="K1606" s="5"/>
      <c r="L1606" s="5"/>
      <c r="M1606" s="5"/>
      <c r="N1606" s="5"/>
      <c r="O1606" s="5"/>
      <c r="P1606" s="5"/>
      <c r="Q1606" s="5"/>
      <c r="R1606" s="5"/>
      <c r="S1606" s="5"/>
      <c r="T1606" s="5"/>
      <c r="U1606" s="5"/>
      <c r="V1606" s="5"/>
      <c r="W1606" s="5"/>
      <c r="X1606" s="5"/>
      <c r="Y1606" s="5"/>
      <c r="Z1606" s="5"/>
    </row>
    <row r="1607" spans="1:26" ht="15.6" x14ac:dyDescent="0.3">
      <c r="A1607" s="18" t="s">
        <v>5</v>
      </c>
      <c r="B1607" s="24" t="s">
        <v>1609</v>
      </c>
      <c r="C1607" s="2" t="str">
        <f ca="1">IFERROR(__xludf.DUMMYFUNCTION("GOOGLETRANSLATE(B1607, ""bn"", ""en"")"),"At least 36 people were killed in religious violence in Barguna in an attack on a minority community.")</f>
        <v>At least 36 people were killed in religious violence in Barguna in an attack on a minority community.</v>
      </c>
      <c r="D1607" s="5"/>
      <c r="E1607" s="5"/>
      <c r="F1607" s="5"/>
      <c r="G1607" s="5"/>
      <c r="H1607" s="5"/>
      <c r="I1607" s="5"/>
      <c r="J1607" s="5"/>
      <c r="K1607" s="5"/>
      <c r="L1607" s="5"/>
      <c r="M1607" s="5"/>
      <c r="N1607" s="5"/>
      <c r="O1607" s="5"/>
      <c r="P1607" s="5"/>
      <c r="Q1607" s="5"/>
      <c r="R1607" s="5"/>
      <c r="S1607" s="5"/>
      <c r="T1607" s="5"/>
      <c r="U1607" s="5"/>
      <c r="V1607" s="5"/>
      <c r="W1607" s="5"/>
      <c r="X1607" s="5"/>
      <c r="Y1607" s="5"/>
      <c r="Z1607" s="5"/>
    </row>
    <row r="1608" spans="1:26" ht="15.6" x14ac:dyDescent="0.3">
      <c r="A1608" s="18" t="s">
        <v>3</v>
      </c>
      <c r="B1608" s="25" t="s">
        <v>1610</v>
      </c>
      <c r="C1608" s="2" t="str">
        <f ca="1">IFERROR(__xludf.DUMMYFUNCTION("GOOGLETRANSLATE(B1608, ""bn"", ""en"")"),"As Muslims, we have deep faith in Allah and the Prophet (PBUH). A request to our brothers, let us all have faith and trust in the right path of Islam peacefully.")</f>
        <v>As Muslims, we have deep faith in Allah and the Prophet (PBUH). A request to our brothers, let us all have faith and trust in the right path of Islam peacefully.</v>
      </c>
      <c r="D1608" s="5"/>
      <c r="E1608" s="5"/>
      <c r="F1608" s="5"/>
      <c r="G1608" s="5"/>
      <c r="H1608" s="5"/>
      <c r="I1608" s="5"/>
      <c r="J1608" s="5"/>
      <c r="K1608" s="5"/>
      <c r="L1608" s="5"/>
      <c r="M1608" s="5"/>
      <c r="N1608" s="5"/>
      <c r="O1608" s="5"/>
      <c r="P1608" s="5"/>
      <c r="Q1608" s="5"/>
      <c r="R1608" s="5"/>
      <c r="S1608" s="5"/>
      <c r="T1608" s="5"/>
      <c r="U1608" s="5"/>
      <c r="V1608" s="5"/>
      <c r="W1608" s="5"/>
      <c r="X1608" s="5"/>
      <c r="Y1608" s="5"/>
      <c r="Z1608" s="5"/>
    </row>
    <row r="1609" spans="1:26" ht="15.6" x14ac:dyDescent="0.3">
      <c r="A1609" s="18" t="s">
        <v>5</v>
      </c>
      <c r="B1609" s="25" t="s">
        <v>1611</v>
      </c>
      <c r="C1609" s="2" t="str">
        <f ca="1">IFERROR(__xludf.DUMMYFUNCTION("GOOGLETRANSLATE(B1609, ""bn"", ""en"")"),"As part of the religious persecution, the temple priest forced Parmananda Giri to recite the 'Kalema' and immediately afterwards stabbed him in the stomach with a bayonet and shot him dead. Subsequently many were forced to recite the 'Kalema' and later ki"&amp;"lled in the same way.")</f>
        <v>As part of the religious persecution, the temple priest forced Parmananda Giri to recite the 'Kalema' and immediately afterwards stabbed him in the stomach with a bayonet and shot him dead. Subsequently many were forced to recite the 'Kalema' and later killed in the same way.</v>
      </c>
      <c r="D1609" s="5"/>
      <c r="E1609" s="5"/>
      <c r="F1609" s="5"/>
      <c r="G1609" s="5"/>
      <c r="H1609" s="5"/>
      <c r="I1609" s="5"/>
      <c r="J1609" s="5"/>
      <c r="K1609" s="5"/>
      <c r="L1609" s="5"/>
      <c r="M1609" s="5"/>
      <c r="N1609" s="5"/>
      <c r="O1609" s="5"/>
      <c r="P1609" s="5"/>
      <c r="Q1609" s="5"/>
      <c r="R1609" s="5"/>
      <c r="S1609" s="5"/>
      <c r="T1609" s="5"/>
      <c r="U1609" s="5"/>
      <c r="V1609" s="5"/>
      <c r="W1609" s="5"/>
      <c r="X1609" s="5"/>
      <c r="Y1609" s="5"/>
      <c r="Z1609" s="5"/>
    </row>
    <row r="1610" spans="1:26" ht="15.6" x14ac:dyDescent="0.3">
      <c r="A1610" s="18" t="s">
        <v>23</v>
      </c>
      <c r="B1610" s="25" t="s">
        <v>1612</v>
      </c>
      <c r="C1610" s="2" t="str">
        <f ca="1">IFERROR(__xludf.DUMMYFUNCTION("GOOGLETRANSLATE(B1610, ""bn"", ""en"")"),"Kaharol is a very peaceful area and non-communal. A circle is giving religious incitement to destroy this secularism.")</f>
        <v>Kaharol is a very peaceful area and non-communal. A circle is giving religious incitement to destroy this secularism.</v>
      </c>
      <c r="D1610" s="5"/>
      <c r="E1610" s="5"/>
      <c r="F1610" s="5"/>
      <c r="G1610" s="5"/>
      <c r="H1610" s="5"/>
      <c r="I1610" s="5"/>
      <c r="J1610" s="5"/>
      <c r="K1610" s="5"/>
      <c r="L1610" s="5"/>
      <c r="M1610" s="5"/>
      <c r="N1610" s="5"/>
      <c r="O1610" s="5"/>
      <c r="P1610" s="5"/>
      <c r="Q1610" s="5"/>
      <c r="R1610" s="5"/>
      <c r="S1610" s="5"/>
      <c r="T1610" s="5"/>
      <c r="U1610" s="5"/>
      <c r="V1610" s="5"/>
      <c r="W1610" s="5"/>
      <c r="X1610" s="5"/>
      <c r="Y1610" s="5"/>
      <c r="Z1610" s="5"/>
    </row>
    <row r="1611" spans="1:26" ht="15.6" x14ac:dyDescent="0.3">
      <c r="A1611" s="18" t="s">
        <v>3</v>
      </c>
      <c r="B1611" s="24" t="s">
        <v>1613</v>
      </c>
      <c r="C1611" s="2" t="str">
        <f ca="1">IFERROR(__xludf.DUMMYFUNCTION("GOOGLETRANSLATE(B1611, ""bn"", ""en"")"),"The Bible says “Love your neighbor as yourself” – this teaching leads people to the path of peace.")</f>
        <v>The Bible says “Love your neighbor as yourself” – this teaching leads people to the path of peace.</v>
      </c>
      <c r="D1611" s="3"/>
      <c r="E1611" s="5"/>
      <c r="F1611" s="5"/>
      <c r="G1611" s="5"/>
      <c r="H1611" s="5"/>
      <c r="I1611" s="5"/>
      <c r="J1611" s="5"/>
      <c r="K1611" s="5"/>
      <c r="L1611" s="5"/>
      <c r="M1611" s="5"/>
      <c r="N1611" s="5"/>
      <c r="O1611" s="5"/>
      <c r="P1611" s="5"/>
      <c r="Q1611" s="5"/>
      <c r="R1611" s="5"/>
      <c r="S1611" s="5"/>
      <c r="T1611" s="5"/>
      <c r="U1611" s="5"/>
      <c r="V1611" s="5"/>
      <c r="W1611" s="5"/>
      <c r="X1611" s="5"/>
      <c r="Y1611" s="5"/>
      <c r="Z1611" s="5"/>
    </row>
    <row r="1612" spans="1:26" ht="15.6" x14ac:dyDescent="0.3">
      <c r="A1612" s="18" t="s">
        <v>8</v>
      </c>
      <c r="B1612" s="24" t="s">
        <v>1614</v>
      </c>
      <c r="C1612" s="2" t="str">
        <f ca="1">IFERROR(__xludf.DUMMYFUNCTION("GOOGLETRANSLATE(B1612, ""bn"", ""en"")"),"On March 13, 2024, Kalimandir at Kashiani in Gopalganj was entered and all the idols' hands and eyes were crushed and worship materials were thrown.")</f>
        <v>On March 13, 2024, Kalimandir at Kashiani in Gopalganj was entered and all the idols' hands and eyes were crushed and worship materials were thrown.</v>
      </c>
      <c r="D1612" s="5"/>
      <c r="E1612" s="5"/>
      <c r="F1612" s="5"/>
      <c r="G1612" s="5"/>
      <c r="H1612" s="5"/>
      <c r="I1612" s="5"/>
      <c r="J1612" s="5"/>
      <c r="K1612" s="5"/>
      <c r="L1612" s="5"/>
      <c r="M1612" s="5"/>
      <c r="N1612" s="5"/>
      <c r="O1612" s="5"/>
      <c r="P1612" s="5"/>
      <c r="Q1612" s="5"/>
      <c r="R1612" s="5"/>
      <c r="S1612" s="5"/>
      <c r="T1612" s="5"/>
      <c r="U1612" s="5"/>
      <c r="V1612" s="5"/>
      <c r="W1612" s="5"/>
      <c r="X1612" s="5"/>
      <c r="Y1612" s="5"/>
      <c r="Z1612" s="5"/>
    </row>
    <row r="1613" spans="1:26" ht="15.6" x14ac:dyDescent="0.3">
      <c r="A1613" s="19" t="s">
        <v>8</v>
      </c>
      <c r="B1613" s="26" t="s">
        <v>1615</v>
      </c>
      <c r="C1613" s="2" t="str">
        <f ca="1">IFERROR(__xludf.DUMMYFUNCTION("GOOGLETRANSLATE(B1613, ""bn"", ""en"")"),"A curfew has been imposed in parts of a central city, where people from the majority community vandalized and set fire to Muslim-owned shops and houses.")</f>
        <v>A curfew has been imposed in parts of a central city, where people from the majority community vandalized and set fire to Muslim-owned shops and houses.</v>
      </c>
      <c r="D1613" s="7"/>
      <c r="E1613" s="7"/>
      <c r="F1613" s="7"/>
      <c r="G1613" s="7"/>
      <c r="H1613" s="7"/>
      <c r="I1613" s="7"/>
      <c r="J1613" s="7"/>
      <c r="K1613" s="7"/>
      <c r="L1613" s="7"/>
      <c r="M1613" s="7"/>
      <c r="N1613" s="7"/>
      <c r="O1613" s="5"/>
      <c r="P1613" s="5"/>
      <c r="Q1613" s="5"/>
      <c r="R1613" s="5"/>
      <c r="S1613" s="5"/>
      <c r="T1613" s="5"/>
      <c r="U1613" s="5"/>
      <c r="V1613" s="5"/>
      <c r="W1613" s="5"/>
      <c r="X1613" s="5"/>
      <c r="Y1613" s="5"/>
      <c r="Z1613" s="5"/>
    </row>
    <row r="1614" spans="1:26" ht="15.6" x14ac:dyDescent="0.3">
      <c r="A1614" s="18" t="s">
        <v>5</v>
      </c>
      <c r="B1614" s="24" t="s">
        <v>1616</v>
      </c>
      <c r="C1614" s="2" t="str">
        <f ca="1">IFERROR(__xludf.DUMMYFUNCTION("GOOGLETRANSLATE(B1614, ""bn"", ""en"")"),"In February 2019, 34 people were killed in clashes between a group of religious groups; Many people were injured.")</f>
        <v>In February 2019, 34 people were killed in clashes between a group of religious groups; Many people were injured.</v>
      </c>
      <c r="D1614" s="5"/>
      <c r="E1614" s="5"/>
      <c r="F1614" s="5"/>
      <c r="G1614" s="5"/>
      <c r="H1614" s="5"/>
      <c r="I1614" s="5"/>
      <c r="J1614" s="5"/>
      <c r="K1614" s="5"/>
      <c r="L1614" s="5"/>
      <c r="M1614" s="5"/>
      <c r="N1614" s="5"/>
      <c r="O1614" s="5"/>
      <c r="P1614" s="5"/>
      <c r="Q1614" s="5"/>
      <c r="R1614" s="5"/>
      <c r="S1614" s="5"/>
      <c r="T1614" s="5"/>
      <c r="U1614" s="5"/>
      <c r="V1614" s="5"/>
      <c r="W1614" s="5"/>
      <c r="X1614" s="5"/>
      <c r="Y1614" s="5"/>
      <c r="Z1614" s="5"/>
    </row>
    <row r="1615" spans="1:26" ht="15.6" x14ac:dyDescent="0.3">
      <c r="A1615" s="19" t="s">
        <v>5</v>
      </c>
      <c r="B1615" s="26" t="s">
        <v>1617</v>
      </c>
      <c r="C1615" s="2" t="str">
        <f ca="1">IFERROR(__xludf.DUMMYFUNCTION("GOOGLETRANSLATE(B1615, ""bn"", ""en"")"),"Brother, will your religion be pulled everywhere? When a gentile teacher or friend of yours dies, do you laugh at their death or offer condolences?")</f>
        <v>Brother, will your religion be pulled everywhere? When a gentile teacher or friend of yours dies, do you laugh at their death or offer condolences?</v>
      </c>
      <c r="D1615" s="5"/>
      <c r="E1615" s="5"/>
      <c r="F1615" s="5"/>
      <c r="G1615" s="5"/>
      <c r="H1615" s="5"/>
      <c r="I1615" s="5"/>
      <c r="J1615" s="5"/>
      <c r="K1615" s="5"/>
      <c r="L1615" s="5"/>
      <c r="M1615" s="5"/>
      <c r="N1615" s="5"/>
      <c r="O1615" s="5"/>
      <c r="P1615" s="5"/>
      <c r="Q1615" s="5"/>
      <c r="R1615" s="5"/>
      <c r="S1615" s="5"/>
      <c r="T1615" s="5"/>
      <c r="U1615" s="5"/>
      <c r="V1615" s="5"/>
      <c r="W1615" s="5"/>
      <c r="X1615" s="5"/>
      <c r="Y1615" s="5"/>
      <c r="Z1615" s="5"/>
    </row>
    <row r="1616" spans="1:26" ht="15.6" x14ac:dyDescent="0.3">
      <c r="A1616" s="18" t="s">
        <v>8</v>
      </c>
      <c r="B1616" s="25" t="s">
        <v>1618</v>
      </c>
      <c r="C1616" s="2" t="str">
        <f ca="1">IFERROR(__xludf.DUMMYFUNCTION("GOOGLETRANSLATE(B1616, ""bn"", ""en"")"),"In 2016, the 'Khanti Ahle Sunnat Wal Jamaat' called for a protest and rally at Nasirnagar Government College Cross, alleging hurt to religious sentiments.")</f>
        <v>In 2016, the 'Khanti Ahle Sunnat Wal Jamaat' called for a protest and rally at Nasirnagar Government College Cross, alleging hurt to religious sentiments.</v>
      </c>
      <c r="D1616" s="5"/>
      <c r="E1616" s="5"/>
      <c r="F1616" s="5"/>
      <c r="G1616" s="5"/>
      <c r="H1616" s="5"/>
      <c r="I1616" s="5"/>
      <c r="J1616" s="5"/>
      <c r="K1616" s="5"/>
      <c r="L1616" s="5"/>
      <c r="M1616" s="5"/>
      <c r="N1616" s="5"/>
      <c r="O1616" s="5"/>
      <c r="P1616" s="5"/>
      <c r="Q1616" s="5"/>
      <c r="R1616" s="5"/>
      <c r="S1616" s="5"/>
      <c r="T1616" s="5"/>
      <c r="U1616" s="5"/>
      <c r="V1616" s="5"/>
      <c r="W1616" s="5"/>
      <c r="X1616" s="5"/>
      <c r="Y1616" s="5"/>
      <c r="Z1616" s="5"/>
    </row>
    <row r="1617" spans="1:26" ht="15.6" x14ac:dyDescent="0.3">
      <c r="A1617" s="18" t="s">
        <v>5</v>
      </c>
      <c r="B1617" s="24" t="s">
        <v>1619</v>
      </c>
      <c r="C1617" s="2" t="str">
        <f ca="1">IFERROR(__xludf.DUMMYFUNCTION("GOOGLETRANSLATE(B1617, ""bn"", ""en"")"),"35 people were killed in an attack by a religious group in Narail; The police failed to control the situation.")</f>
        <v>35 people were killed in an attack by a religious group in Narail; The police failed to control the situation.</v>
      </c>
      <c r="D1617" s="5"/>
      <c r="E1617" s="5"/>
      <c r="F1617" s="5"/>
      <c r="G1617" s="5"/>
      <c r="H1617" s="5"/>
      <c r="I1617" s="5"/>
      <c r="J1617" s="5"/>
      <c r="K1617" s="5"/>
      <c r="L1617" s="5"/>
      <c r="M1617" s="5"/>
      <c r="N1617" s="5"/>
      <c r="O1617" s="5"/>
      <c r="P1617" s="5"/>
      <c r="Q1617" s="5"/>
      <c r="R1617" s="5"/>
      <c r="S1617" s="5"/>
      <c r="T1617" s="5"/>
      <c r="U1617" s="5"/>
      <c r="V1617" s="5"/>
      <c r="W1617" s="5"/>
      <c r="X1617" s="5"/>
      <c r="Y1617" s="5"/>
      <c r="Z1617" s="5"/>
    </row>
    <row r="1618" spans="1:26" ht="15.6" x14ac:dyDescent="0.3">
      <c r="A1618" s="18" t="s">
        <v>3</v>
      </c>
      <c r="B1618" s="24" t="s">
        <v>1620</v>
      </c>
      <c r="C1618" s="2" t="str">
        <f ca="1">IFERROR(__xludf.DUMMYFUNCTION("GOOGLETRANSLATE(B1618, ""bn"", ""en"")"),"Religious practices help build our character, such as honesty, tolerance and compassion.")</f>
        <v>Religious practices help build our character, such as honesty, tolerance and compassion.</v>
      </c>
      <c r="D1618" s="5"/>
      <c r="E1618" s="5"/>
      <c r="F1618" s="5"/>
      <c r="G1618" s="5"/>
      <c r="H1618" s="5"/>
      <c r="I1618" s="5"/>
      <c r="J1618" s="5"/>
      <c r="K1618" s="5"/>
      <c r="L1618" s="5"/>
      <c r="M1618" s="5"/>
      <c r="N1618" s="5"/>
      <c r="O1618" s="5"/>
      <c r="P1618" s="5"/>
      <c r="Q1618" s="5"/>
      <c r="R1618" s="5"/>
      <c r="S1618" s="5"/>
      <c r="T1618" s="5"/>
      <c r="U1618" s="5"/>
      <c r="V1618" s="5"/>
      <c r="W1618" s="5"/>
      <c r="X1618" s="5"/>
      <c r="Y1618" s="5"/>
      <c r="Z1618" s="5"/>
    </row>
    <row r="1619" spans="1:26" ht="15.6" x14ac:dyDescent="0.3">
      <c r="A1619" s="18" t="s">
        <v>23</v>
      </c>
      <c r="B1619" s="24" t="s">
        <v>1621</v>
      </c>
      <c r="C1619" s="2" t="str">
        <f ca="1">IFERROR(__xludf.DUMMYFUNCTION("GOOGLETRANSLATE(B1619, ""bn"", ""en"")"),"Some members of the Buddhist community are creating unrest and division in the society by spreading religious hatred.")</f>
        <v>Some members of the Buddhist community are creating unrest and division in the society by spreading religious hatred.</v>
      </c>
      <c r="D1619" s="5"/>
      <c r="E1619" s="5"/>
      <c r="F1619" s="5"/>
      <c r="G1619" s="5"/>
      <c r="H1619" s="5"/>
      <c r="I1619" s="5"/>
      <c r="J1619" s="5"/>
      <c r="K1619" s="5"/>
      <c r="L1619" s="5"/>
      <c r="M1619" s="5"/>
      <c r="N1619" s="5"/>
      <c r="O1619" s="5"/>
      <c r="P1619" s="5"/>
      <c r="Q1619" s="5"/>
      <c r="R1619" s="5"/>
      <c r="S1619" s="5"/>
      <c r="T1619" s="5"/>
      <c r="U1619" s="5"/>
      <c r="V1619" s="5"/>
      <c r="W1619" s="5"/>
      <c r="X1619" s="5"/>
      <c r="Y1619" s="5"/>
      <c r="Z1619" s="5"/>
    </row>
    <row r="1620" spans="1:26" ht="15.6" x14ac:dyDescent="0.3">
      <c r="A1620" s="18" t="s">
        <v>23</v>
      </c>
      <c r="B1620" s="24" t="s">
        <v>1622</v>
      </c>
      <c r="C1620" s="2" t="str">
        <f ca="1">IFERROR(__xludf.DUMMYFUNCTION("GOOGLETRANSLATE(B1620, ""bn"", ""en"")"),"Violence and religious divisions in society are intensifying as some young Muslims embrace religious extremism.")</f>
        <v>Violence and religious divisions in society are intensifying as some young Muslims embrace religious extremism.</v>
      </c>
      <c r="D1620" s="5"/>
      <c r="E1620" s="5"/>
      <c r="F1620" s="5"/>
      <c r="G1620" s="5"/>
      <c r="H1620" s="5"/>
      <c r="I1620" s="5"/>
      <c r="J1620" s="5"/>
      <c r="K1620" s="5"/>
      <c r="L1620" s="5"/>
      <c r="M1620" s="5"/>
      <c r="N1620" s="5"/>
      <c r="O1620" s="5"/>
      <c r="P1620" s="5"/>
      <c r="Q1620" s="5"/>
      <c r="R1620" s="5"/>
      <c r="S1620" s="5"/>
      <c r="T1620" s="5"/>
      <c r="U1620" s="5"/>
      <c r="V1620" s="5"/>
      <c r="W1620" s="5"/>
      <c r="X1620" s="5"/>
      <c r="Y1620" s="5"/>
      <c r="Z1620" s="5"/>
    </row>
    <row r="1621" spans="1:26" ht="15.6" x14ac:dyDescent="0.3">
      <c r="A1621" s="18" t="s">
        <v>23</v>
      </c>
      <c r="B1621" s="25" t="s">
        <v>1623</v>
      </c>
      <c r="C1621" s="2" t="str">
        <f ca="1">IFERROR(__xludf.DUMMYFUNCTION("GOOGLETRANSLATE(B1621, ""bn"", ""en"")"),"The judge sentenced accused Paritosh Sarkar to a total of 11 years imprisonment under four clauses after it was proved that the Facebook post hurt religious sentiments.")</f>
        <v>The judge sentenced accused Paritosh Sarkar to a total of 11 years imprisonment under four clauses after it was proved that the Facebook post hurt religious sentiments.</v>
      </c>
      <c r="D1621" s="2"/>
      <c r="E1621" s="2"/>
      <c r="F1621" s="2"/>
      <c r="G1621" s="2"/>
      <c r="H1621" s="3"/>
      <c r="I1621" s="3"/>
      <c r="J1621" s="3"/>
      <c r="K1621" s="3"/>
      <c r="L1621" s="3"/>
      <c r="M1621" s="3"/>
      <c r="N1621" s="3"/>
      <c r="O1621" s="3"/>
      <c r="P1621" s="3"/>
      <c r="Q1621" s="3"/>
      <c r="R1621" s="3"/>
      <c r="S1621" s="3"/>
      <c r="T1621" s="3"/>
      <c r="U1621" s="3"/>
      <c r="V1621" s="3"/>
      <c r="W1621" s="3"/>
      <c r="X1621" s="3"/>
      <c r="Y1621" s="3"/>
      <c r="Z1621" s="3"/>
    </row>
    <row r="1622" spans="1:26" ht="15.6" x14ac:dyDescent="0.3">
      <c r="A1622" s="18" t="s">
        <v>8</v>
      </c>
      <c r="B1622" s="25" t="s">
        <v>1624</v>
      </c>
      <c r="C1622" s="2" t="str">
        <f ca="1">IFERROR(__xludf.DUMMYFUNCTION("GOOGLETRANSLATE(B1622, ""bn"", ""en"")"),"Attacks on places of worship and homes of minorities have been vandalized and set on fire amid rumors of blasphemy, painting a worrying picture of religious violence and terrorism.")</f>
        <v>Attacks on places of worship and homes of minorities have been vandalized and set on fire amid rumors of blasphemy, painting a worrying picture of religious violence and terrorism.</v>
      </c>
      <c r="D1622" s="5"/>
      <c r="E1622" s="5"/>
      <c r="F1622" s="5"/>
      <c r="G1622" s="5"/>
      <c r="H1622" s="5"/>
      <c r="I1622" s="5"/>
      <c r="J1622" s="5"/>
      <c r="K1622" s="5"/>
      <c r="L1622" s="5"/>
      <c r="M1622" s="5"/>
      <c r="N1622" s="5"/>
      <c r="O1622" s="5"/>
      <c r="P1622" s="5"/>
      <c r="Q1622" s="5"/>
      <c r="R1622" s="5"/>
      <c r="S1622" s="5"/>
      <c r="T1622" s="5"/>
      <c r="U1622" s="5"/>
      <c r="V1622" s="5"/>
      <c r="W1622" s="5"/>
      <c r="X1622" s="5"/>
      <c r="Y1622" s="5"/>
      <c r="Z1622" s="5"/>
    </row>
    <row r="1623" spans="1:26" ht="15.6" x14ac:dyDescent="0.3">
      <c r="A1623" s="19" t="s">
        <v>23</v>
      </c>
      <c r="B1623" s="26" t="s">
        <v>1625</v>
      </c>
      <c r="C1623" s="2" t="str">
        <f ca="1">IFERROR(__xludf.DUMMYFUNCTION("GOOGLETRANSLATE(B1623, ""bn"", ""en"")"),"SM Saikat Mandal (24), a post-graduate student of philosophy department of Rangpur Carmichael College and the number 1 vice-president of the Chhatra League committee in that department, led and organized the local radical Muslims. On the day of the incide"&amp;"nt, Saikat Mandal started provoking the local people by spreading rumors through various inflammatory statements and false posts on Facebook. [4] [7] [8] On the other hand, Rabiul Islam, an associate of Saikat Mandal, gathered the local people by miking f"&amp;"rom a mosque and giving provocative speeches.")</f>
        <v>SM Saikat Mandal (24), a post-graduate student of philosophy department of Rangpur Carmichael College and the number 1 vice-president of the Chhatra League committee in that department, led and organized the local radical Muslims. On the day of the incident, Saikat Mandal started provoking the local people by spreading rumors through various inflammatory statements and false posts on Facebook. [4] [7] [8] On the other hand, Rabiul Islam, an associate of Saikat Mandal, gathered the local people by miking from a mosque and giving provocative speeches.</v>
      </c>
      <c r="D1623" s="7"/>
      <c r="E1623" s="7"/>
      <c r="F1623" s="7"/>
      <c r="G1623" s="7"/>
      <c r="H1623" s="7"/>
      <c r="I1623" s="7"/>
      <c r="J1623" s="7"/>
      <c r="K1623" s="7"/>
      <c r="L1623" s="7"/>
      <c r="M1623" s="7"/>
      <c r="N1623" s="7"/>
      <c r="O1623" s="7"/>
      <c r="P1623" s="7"/>
      <c r="Q1623" s="7"/>
      <c r="R1623" s="7"/>
      <c r="S1623" s="7"/>
      <c r="T1623" s="7"/>
      <c r="U1623" s="7"/>
      <c r="V1623" s="7"/>
      <c r="W1623" s="7"/>
      <c r="X1623" s="7"/>
      <c r="Y1623" s="7"/>
      <c r="Z1623" s="7"/>
    </row>
    <row r="1624" spans="1:26" ht="15.6" x14ac:dyDescent="0.3">
      <c r="A1624" s="20" t="s">
        <v>3</v>
      </c>
      <c r="B1624" s="29" t="s">
        <v>1626</v>
      </c>
      <c r="C1624" s="2" t="str">
        <f ca="1">IFERROR(__xludf.DUMMYFUNCTION("GOOGLETRANSLATE(B1624, ""bn"", ""en"")"),"Take the Qur'an as your companion before death, the Qur'an will be your companion after death, inshallah")</f>
        <v>Take the Qur'an as your companion before death, the Qur'an will be your companion after death, inshallah</v>
      </c>
      <c r="D1624" s="8"/>
      <c r="E1624" s="8"/>
      <c r="F1624" s="8"/>
      <c r="G1624" s="8"/>
      <c r="H1624" s="10"/>
      <c r="I1624" s="10"/>
      <c r="J1624" s="10"/>
      <c r="K1624" s="10"/>
      <c r="L1624" s="10"/>
      <c r="M1624" s="10"/>
      <c r="N1624" s="10"/>
      <c r="O1624" s="10"/>
      <c r="P1624" s="10"/>
      <c r="Q1624" s="10"/>
      <c r="R1624" s="10"/>
      <c r="S1624" s="10"/>
      <c r="T1624" s="10"/>
      <c r="U1624" s="10"/>
      <c r="V1624" s="10"/>
      <c r="W1624" s="10"/>
      <c r="X1624" s="10"/>
      <c r="Y1624" s="10"/>
      <c r="Z1624" s="10"/>
    </row>
    <row r="1625" spans="1:26" ht="15.6" x14ac:dyDescent="0.3">
      <c r="A1625" s="18" t="s">
        <v>5</v>
      </c>
      <c r="B1625" s="24" t="s">
        <v>1627</v>
      </c>
      <c r="C1625" s="2" t="str">
        <f ca="1">IFERROR(__xludf.DUMMYFUNCTION("GOOGLETRANSLATE(B1625, ""bn"", ""en"")"),"47 people were killed in clashes due to religious tension in Barisal. The police are active in preventing violence, while the government urges everyone to remain calm to maintain religious tolerance. Many minority families leave the village for safety.")</f>
        <v>47 people were killed in clashes due to religious tension in Barisal. The police are active in preventing violence, while the government urges everyone to remain calm to maintain religious tolerance. Many minority families leave the village for safety.</v>
      </c>
      <c r="D1625" s="5"/>
      <c r="E1625" s="5"/>
      <c r="F1625" s="5"/>
      <c r="G1625" s="5"/>
      <c r="H1625" s="5"/>
      <c r="I1625" s="5"/>
      <c r="J1625" s="5"/>
      <c r="K1625" s="5"/>
      <c r="L1625" s="5"/>
      <c r="M1625" s="5"/>
      <c r="N1625" s="5"/>
      <c r="O1625" s="5"/>
      <c r="P1625" s="5"/>
      <c r="Q1625" s="5"/>
      <c r="R1625" s="5"/>
      <c r="S1625" s="5"/>
      <c r="T1625" s="5"/>
      <c r="U1625" s="5"/>
      <c r="V1625" s="5"/>
      <c r="W1625" s="5"/>
      <c r="X1625" s="5"/>
      <c r="Y1625" s="5"/>
      <c r="Z1625" s="5"/>
    </row>
    <row r="1626" spans="1:26" ht="15.6" x14ac:dyDescent="0.3">
      <c r="A1626" s="18" t="s">
        <v>23</v>
      </c>
      <c r="B1626" s="25" t="s">
        <v>1628</v>
      </c>
      <c r="C1626" s="2" t="str">
        <f ca="1">IFERROR(__xludf.DUMMYFUNCTION("GOOGLETRANSLATE(B1626, ""bn"", ""en"")"),"You will see the Quran Sharif of Islam and read it in Bengali. And don't talk nonsense about Islam from Muslim countries.")</f>
        <v>You will see the Quran Sharif of Islam and read it in Bengali. And don't talk nonsense about Islam from Muslim countries.</v>
      </c>
      <c r="D1626" s="6"/>
      <c r="E1626" s="2"/>
      <c r="F1626" s="2"/>
      <c r="G1626" s="2"/>
      <c r="H1626" s="3"/>
      <c r="I1626" s="3"/>
      <c r="J1626" s="3"/>
      <c r="K1626" s="3"/>
      <c r="L1626" s="3"/>
      <c r="M1626" s="3"/>
      <c r="N1626" s="3"/>
      <c r="O1626" s="3"/>
      <c r="P1626" s="3"/>
      <c r="Q1626" s="3"/>
      <c r="R1626" s="3"/>
      <c r="S1626" s="3"/>
      <c r="T1626" s="3"/>
      <c r="U1626" s="3"/>
      <c r="V1626" s="3"/>
      <c r="W1626" s="3"/>
      <c r="X1626" s="3"/>
      <c r="Y1626" s="3"/>
      <c r="Z1626" s="3"/>
    </row>
    <row r="1627" spans="1:26" ht="15.6" x14ac:dyDescent="0.3">
      <c r="A1627" s="19" t="s">
        <v>3</v>
      </c>
      <c r="B1627" s="26" t="s">
        <v>1629</v>
      </c>
      <c r="C1627" s="2" t="str">
        <f ca="1">IFERROR(__xludf.DUMMYFUNCTION("GOOGLETRANSLATE(B1627, ""bn"", ""en"")"),"Religion inculcates confidence, patience and courage in a man, which helps him to persevere and persevere in difficult situations.")</f>
        <v>Religion inculcates confidence, patience and courage in a man, which helps him to persevere and persevere in difficult situations.</v>
      </c>
      <c r="D1627" s="7"/>
      <c r="E1627" s="7"/>
      <c r="F1627" s="7"/>
      <c r="G1627" s="7"/>
      <c r="H1627" s="7"/>
      <c r="I1627" s="7"/>
      <c r="J1627" s="5"/>
      <c r="K1627" s="5"/>
      <c r="L1627" s="5"/>
      <c r="M1627" s="5"/>
      <c r="N1627" s="5"/>
      <c r="O1627" s="5"/>
      <c r="P1627" s="5"/>
      <c r="Q1627" s="5"/>
      <c r="R1627" s="5"/>
      <c r="S1627" s="5"/>
      <c r="T1627" s="5"/>
      <c r="U1627" s="5"/>
      <c r="V1627" s="5"/>
      <c r="W1627" s="5"/>
      <c r="X1627" s="5"/>
      <c r="Y1627" s="5"/>
      <c r="Z1627" s="5"/>
    </row>
    <row r="1628" spans="1:26" ht="15.6" x14ac:dyDescent="0.3">
      <c r="A1628" s="18" t="s">
        <v>5</v>
      </c>
      <c r="B1628" s="24" t="s">
        <v>1630</v>
      </c>
      <c r="C1628" s="2" t="str">
        <f ca="1">IFERROR(__xludf.DUMMYFUNCTION("GOOGLETRANSLATE(B1628, ""bn"", ""en"")"),"In March 2019, Muslim extremists attacked a Hindu community in a village, ransacking and burning their homes. At least 29 people were killed in this clash.")</f>
        <v>In March 2019, Muslim extremists attacked a Hindu community in a village, ransacking and burning their homes. At least 29 people were killed in this clash.</v>
      </c>
      <c r="D1628" s="5"/>
      <c r="E1628" s="5"/>
      <c r="F1628" s="5"/>
      <c r="G1628" s="5"/>
      <c r="H1628" s="5"/>
      <c r="I1628" s="5"/>
      <c r="J1628" s="5"/>
      <c r="K1628" s="5"/>
      <c r="L1628" s="5"/>
      <c r="M1628" s="5"/>
      <c r="N1628" s="5"/>
      <c r="O1628" s="5"/>
      <c r="P1628" s="5"/>
      <c r="Q1628" s="5"/>
      <c r="R1628" s="5"/>
      <c r="S1628" s="5"/>
      <c r="T1628" s="5"/>
      <c r="U1628" s="5"/>
      <c r="V1628" s="5"/>
      <c r="W1628" s="5"/>
      <c r="X1628" s="5"/>
      <c r="Y1628" s="5"/>
      <c r="Z1628" s="5"/>
    </row>
    <row r="1629" spans="1:26" ht="15.6" x14ac:dyDescent="0.3">
      <c r="A1629" s="19" t="s">
        <v>23</v>
      </c>
      <c r="B1629" s="26" t="s">
        <v>1631</v>
      </c>
      <c r="C1629" s="2" t="str">
        <f ca="1">IFERROR(__xludf.DUMMYFUNCTION("GOOGLETRANSLATE(B1629, ""bn"", ""en"")"),"On November 2, Bheramara of Kushtia. Salim Khan made lewd comments under Nafisa Chowdhury's status on Facebook, which later went viral and many demanded her punishment.")</f>
        <v>On November 2, Bheramara of Kushtia. Salim Khan made lewd comments under Nafisa Chowdhury's status on Facebook, which later went viral and many demanded her punishment.</v>
      </c>
      <c r="D1629" s="7"/>
      <c r="E1629" s="7"/>
      <c r="F1629" s="7"/>
      <c r="G1629" s="7"/>
      <c r="H1629" s="7"/>
      <c r="I1629" s="7"/>
      <c r="J1629" s="7"/>
      <c r="K1629" s="7"/>
      <c r="L1629" s="7"/>
      <c r="M1629" s="7"/>
      <c r="N1629" s="5"/>
      <c r="O1629" s="5"/>
      <c r="P1629" s="5"/>
      <c r="Q1629" s="5"/>
      <c r="R1629" s="5"/>
      <c r="S1629" s="5"/>
      <c r="T1629" s="5"/>
      <c r="U1629" s="5"/>
      <c r="V1629" s="5"/>
      <c r="W1629" s="5"/>
      <c r="X1629" s="5"/>
      <c r="Y1629" s="5"/>
      <c r="Z1629" s="5"/>
    </row>
    <row r="1630" spans="1:26" ht="15.6" x14ac:dyDescent="0.3">
      <c r="A1630" s="18" t="s">
        <v>5</v>
      </c>
      <c r="B1630" s="24" t="s">
        <v>1632</v>
      </c>
      <c r="C1630" s="2" t="str">
        <f ca="1">IFERROR(__xludf.DUMMYFUNCTION("GOOGLETRANSLATE(B1630, ""bn"", ""en"")"),"A clash occurred due to religious extremism in a village in Naogaon. The assailants continued the violence despite police efforts to bring the situation under control. At least 48 people were killed and hundreds were injured. Many families fled the villag"&amp;"e fearing this violence. Despite the presence of the police, the situation could not be brought under control.")</f>
        <v>A clash occurred due to religious extremism in a village in Naogaon. The assailants continued the violence despite police efforts to bring the situation under control. At least 48 people were killed and hundreds were injured. Many families fled the village fearing this violence. Despite the presence of the police, the situation could not be brought under control.</v>
      </c>
      <c r="D1630" s="5"/>
      <c r="E1630" s="5"/>
      <c r="F1630" s="5"/>
      <c r="G1630" s="5"/>
      <c r="H1630" s="5"/>
      <c r="I1630" s="5"/>
      <c r="J1630" s="5"/>
      <c r="K1630" s="5"/>
      <c r="L1630" s="5"/>
      <c r="M1630" s="5"/>
      <c r="N1630" s="5"/>
      <c r="O1630" s="5"/>
      <c r="P1630" s="5"/>
      <c r="Q1630" s="5"/>
      <c r="R1630" s="5"/>
      <c r="S1630" s="5"/>
      <c r="T1630" s="5"/>
      <c r="U1630" s="5"/>
      <c r="V1630" s="5"/>
      <c r="W1630" s="5"/>
      <c r="X1630" s="5"/>
      <c r="Y1630" s="5"/>
      <c r="Z1630" s="5"/>
    </row>
    <row r="1631" spans="1:26" ht="15.6" x14ac:dyDescent="0.3">
      <c r="A1631" s="18" t="s">
        <v>8</v>
      </c>
      <c r="B1631" s="24" t="s">
        <v>1633</v>
      </c>
      <c r="C1631" s="2" t="str">
        <f ca="1">IFERROR(__xludf.DUMMYFUNCTION("GOOGLETRANSLATE(B1631, ""bn"", ""en"")"),"A group of teenagers tore down religious symbols and trampled them underfoot at a Buddhist monastery in Netrakona.")</f>
        <v>A group of teenagers tore down religious symbols and trampled them underfoot at a Buddhist monastery in Netrakona.</v>
      </c>
      <c r="D1631" s="5"/>
      <c r="E1631" s="5"/>
      <c r="F1631" s="5"/>
      <c r="G1631" s="5"/>
      <c r="H1631" s="5"/>
      <c r="I1631" s="5"/>
      <c r="J1631" s="5"/>
      <c r="K1631" s="5"/>
      <c r="L1631" s="5"/>
      <c r="M1631" s="5"/>
      <c r="N1631" s="5"/>
      <c r="O1631" s="5"/>
      <c r="P1631" s="5"/>
      <c r="Q1631" s="5"/>
      <c r="R1631" s="5"/>
      <c r="S1631" s="5"/>
      <c r="T1631" s="5"/>
      <c r="U1631" s="5"/>
      <c r="V1631" s="5"/>
      <c r="W1631" s="5"/>
      <c r="X1631" s="5"/>
      <c r="Y1631" s="5"/>
      <c r="Z1631" s="5"/>
    </row>
    <row r="1632" spans="1:26" ht="15.6" x14ac:dyDescent="0.3">
      <c r="A1632" s="19" t="s">
        <v>8</v>
      </c>
      <c r="B1632" s="26" t="s">
        <v>1634</v>
      </c>
      <c r="C1632" s="2" t="str">
        <f ca="1">IFERROR(__xludf.DUMMYFUNCTION("GOOGLETRANSLATE(B1632, ""bn"", ""en"")"),"According to reports in local newspapers, Jamaat-e-Islami and several other Islamist groups called a nationwide strike on December 8 to protest the demolition of the Babri Masjid.")</f>
        <v>According to reports in local newspapers, Jamaat-e-Islami and several other Islamist groups called a nationwide strike on December 8 to protest the demolition of the Babri Masjid.</v>
      </c>
      <c r="D1632" s="5"/>
      <c r="E1632" s="5"/>
      <c r="F1632" s="5"/>
      <c r="G1632" s="5"/>
      <c r="H1632" s="5"/>
      <c r="I1632" s="5"/>
      <c r="J1632" s="5"/>
      <c r="K1632" s="5"/>
      <c r="L1632" s="5"/>
      <c r="M1632" s="5"/>
      <c r="N1632" s="5"/>
      <c r="O1632" s="5"/>
      <c r="P1632" s="5"/>
      <c r="Q1632" s="5"/>
      <c r="R1632" s="5"/>
      <c r="S1632" s="5"/>
      <c r="T1632" s="5"/>
      <c r="U1632" s="5"/>
      <c r="V1632" s="5"/>
      <c r="W1632" s="5"/>
      <c r="X1632" s="5"/>
      <c r="Y1632" s="5"/>
      <c r="Z1632" s="5"/>
    </row>
    <row r="1633" spans="1:26" ht="15.6" x14ac:dyDescent="0.3">
      <c r="A1633" s="18" t="s">
        <v>3</v>
      </c>
      <c r="B1633" s="26" t="s">
        <v>1635</v>
      </c>
      <c r="C1633" s="2" t="str">
        <f ca="1">IFERROR(__xludf.DUMMYFUNCTION("GOOGLETRANSLATE(B1633, ""bn"", ""en"")"),"No one is being prevented from practicing religion in Bangladesh. There are more than half a hundred iftar parties every day in DU, and no one is stopping Hindu religious ceremonies.")</f>
        <v>No one is being prevented from practicing religion in Bangladesh. There are more than half a hundred iftar parties every day in DU, and no one is stopping Hindu religious ceremonies.</v>
      </c>
      <c r="D1633" s="2"/>
      <c r="E1633" s="2"/>
      <c r="F1633" s="2"/>
      <c r="G1633" s="2"/>
      <c r="H1633" s="3"/>
      <c r="I1633" s="3"/>
      <c r="J1633" s="3"/>
      <c r="K1633" s="3"/>
      <c r="L1633" s="3"/>
      <c r="M1633" s="3"/>
      <c r="N1633" s="3"/>
      <c r="O1633" s="3"/>
      <c r="P1633" s="3"/>
      <c r="Q1633" s="3"/>
      <c r="R1633" s="3"/>
      <c r="S1633" s="3"/>
      <c r="T1633" s="3"/>
      <c r="U1633" s="3"/>
      <c r="V1633" s="3"/>
      <c r="W1633" s="3"/>
      <c r="X1633" s="3"/>
      <c r="Y1633" s="3"/>
      <c r="Z1633" s="3"/>
    </row>
    <row r="1634" spans="1:26" ht="15.6" x14ac:dyDescent="0.3">
      <c r="A1634" s="18" t="s">
        <v>5</v>
      </c>
      <c r="B1634" s="24" t="s">
        <v>1636</v>
      </c>
      <c r="C1634" s="2" t="str">
        <f ca="1">IFERROR(__xludf.DUMMYFUNCTION("GOOGLETRANSLATE(B1634, ""bn"", ""en"")"),"In November 2020, 37 people were killed in clashes between religious extremists in a predominantly Muslim area; Many were injured.")</f>
        <v>In November 2020, 37 people were killed in clashes between religious extremists in a predominantly Muslim area; Many were injured.</v>
      </c>
      <c r="D1634" s="5"/>
      <c r="E1634" s="5"/>
      <c r="F1634" s="5"/>
      <c r="G1634" s="5"/>
      <c r="H1634" s="5"/>
      <c r="I1634" s="5"/>
      <c r="J1634" s="5"/>
      <c r="K1634" s="5"/>
      <c r="L1634" s="5"/>
      <c r="M1634" s="5"/>
      <c r="N1634" s="5"/>
      <c r="O1634" s="5"/>
      <c r="P1634" s="5"/>
      <c r="Q1634" s="5"/>
      <c r="R1634" s="5"/>
      <c r="S1634" s="5"/>
      <c r="T1634" s="5"/>
      <c r="U1634" s="5"/>
      <c r="V1634" s="5"/>
      <c r="W1634" s="5"/>
      <c r="X1634" s="5"/>
      <c r="Y1634" s="5"/>
      <c r="Z1634" s="5"/>
    </row>
    <row r="1635" spans="1:26" ht="15.6" x14ac:dyDescent="0.3">
      <c r="A1635" s="19" t="s">
        <v>3</v>
      </c>
      <c r="B1635" s="26" t="s">
        <v>1637</v>
      </c>
      <c r="C1635" s="2" t="str">
        <f ca="1">IFERROR(__xludf.DUMMYFUNCTION("GOOGLETRANSLATE(B1635, ""bn"", ""en"")"),"Allah asks us to pray about everything. So we will always pray to Allah with full faith, Inshallah that prayer will be accepted.")</f>
        <v>Allah asks us to pray about everything. So we will always pray to Allah with full faith, Inshallah that prayer will be accepted.</v>
      </c>
      <c r="D1635" s="7"/>
      <c r="E1635" s="7"/>
      <c r="F1635" s="7"/>
      <c r="G1635" s="7"/>
      <c r="H1635" s="7"/>
      <c r="I1635" s="7"/>
      <c r="J1635" s="7"/>
      <c r="K1635" s="5"/>
      <c r="L1635" s="5"/>
      <c r="M1635" s="5"/>
      <c r="N1635" s="5"/>
      <c r="O1635" s="5"/>
      <c r="P1635" s="5"/>
      <c r="Q1635" s="5"/>
      <c r="R1635" s="5"/>
      <c r="S1635" s="5"/>
      <c r="T1635" s="5"/>
      <c r="U1635" s="5"/>
      <c r="V1635" s="5"/>
      <c r="W1635" s="5"/>
      <c r="X1635" s="5"/>
      <c r="Y1635" s="5"/>
      <c r="Z1635" s="5"/>
    </row>
    <row r="1636" spans="1:26" ht="15.6" x14ac:dyDescent="0.3">
      <c r="A1636" s="19" t="s">
        <v>3</v>
      </c>
      <c r="B1636" s="26" t="s">
        <v>1638</v>
      </c>
      <c r="C1636" s="2" t="str">
        <f ca="1">IFERROR(__xludf.DUMMYFUNCTION("GOOGLETRANSLATE(B1636, ""bn"", ""en"")"),"I believe, I have always been a Muslim at heart.")</f>
        <v>I believe, I have always been a Muslim at heart.</v>
      </c>
      <c r="D1636" s="5"/>
      <c r="E1636" s="5"/>
      <c r="F1636" s="5"/>
      <c r="G1636" s="5"/>
      <c r="H1636" s="5"/>
      <c r="I1636" s="5"/>
      <c r="J1636" s="5"/>
      <c r="K1636" s="5"/>
      <c r="L1636" s="5"/>
      <c r="M1636" s="5"/>
      <c r="N1636" s="5"/>
      <c r="O1636" s="5"/>
      <c r="P1636" s="5"/>
      <c r="Q1636" s="5"/>
      <c r="R1636" s="5"/>
      <c r="S1636" s="5"/>
      <c r="T1636" s="5"/>
      <c r="U1636" s="5"/>
      <c r="V1636" s="5"/>
      <c r="W1636" s="5"/>
      <c r="X1636" s="5"/>
      <c r="Y1636" s="5"/>
      <c r="Z1636" s="5"/>
    </row>
    <row r="1637" spans="1:26" ht="15.6" x14ac:dyDescent="0.3">
      <c r="A1637" s="19" t="s">
        <v>3</v>
      </c>
      <c r="B1637" s="26" t="s">
        <v>1639</v>
      </c>
      <c r="C1637" s="2" t="str">
        <f ca="1">IFERROR(__xludf.DUMMYFUNCTION("GOOGLETRANSLATE(B1637, ""bn"", ""en"")"),"Followers of Jainism lead a life of purity, honesty and kindness and their philosophy teaches valuable lessons for humanity.")</f>
        <v>Followers of Jainism lead a life of purity, honesty and kindness and their philosophy teaches valuable lessons for humanity.</v>
      </c>
      <c r="D1637" s="7"/>
      <c r="E1637" s="7"/>
      <c r="F1637" s="7"/>
      <c r="G1637" s="7"/>
      <c r="H1637" s="7"/>
      <c r="I1637" s="5"/>
      <c r="J1637" s="5"/>
      <c r="K1637" s="5"/>
      <c r="L1637" s="5"/>
      <c r="M1637" s="5"/>
      <c r="N1637" s="5"/>
      <c r="O1637" s="5"/>
      <c r="P1637" s="5"/>
      <c r="Q1637" s="5"/>
      <c r="R1637" s="5"/>
      <c r="S1637" s="5"/>
      <c r="T1637" s="5"/>
      <c r="U1637" s="5"/>
      <c r="V1637" s="5"/>
      <c r="W1637" s="5"/>
      <c r="X1637" s="5"/>
      <c r="Y1637" s="5"/>
      <c r="Z1637" s="5"/>
    </row>
    <row r="1638" spans="1:26" ht="15.6" x14ac:dyDescent="0.3">
      <c r="A1638" s="18" t="s">
        <v>5</v>
      </c>
      <c r="B1638" s="25" t="s">
        <v>1640</v>
      </c>
      <c r="C1638" s="2" t="str">
        <f ca="1">IFERROR(__xludf.DUMMYFUNCTION("GOOGLETRANSLATE(B1638, ""bn"", ""en"")"),"He wrote, ""Communal terrorists who killed Advocate Saiful Islam Alif must be severely punished.""")</f>
        <v>He wrote, "Communal terrorists who killed Advocate Saiful Islam Alif must be severely punished."</v>
      </c>
      <c r="D1638" s="5"/>
      <c r="E1638" s="5"/>
      <c r="F1638" s="5"/>
      <c r="G1638" s="5"/>
      <c r="H1638" s="5"/>
      <c r="I1638" s="5"/>
      <c r="J1638" s="5"/>
      <c r="K1638" s="5"/>
      <c r="L1638" s="5"/>
      <c r="M1638" s="5"/>
      <c r="N1638" s="5"/>
      <c r="O1638" s="5"/>
      <c r="P1638" s="5"/>
      <c r="Q1638" s="5"/>
      <c r="R1638" s="5"/>
      <c r="S1638" s="5"/>
      <c r="T1638" s="5"/>
      <c r="U1638" s="5"/>
      <c r="V1638" s="5"/>
      <c r="W1638" s="5"/>
      <c r="X1638" s="5"/>
      <c r="Y1638" s="5"/>
      <c r="Z1638" s="5"/>
    </row>
    <row r="1639" spans="1:26" ht="15.6" x14ac:dyDescent="0.3">
      <c r="A1639" s="18" t="s">
        <v>23</v>
      </c>
      <c r="B1639" s="25" t="s">
        <v>1641</v>
      </c>
      <c r="C1639" s="2" t="str">
        <f ca="1">IFERROR(__xludf.DUMMYFUNCTION("GOOGLETRANSLATE(B1639, ""bn"", ""en"")"),"The distance from the mosque to the temple is about 1 km, in which there is another mosque called Shyamgarh Jame Masjid. Hindutva IDs online are boasting that a mosque is being built on the 'land' of the temple and they will not allow any mosque to be bui"&amp;"lt near the temple to facilitate noise pollution and idolatry.")</f>
        <v>The distance from the mosque to the temple is about 1 km, in which there is another mosque called Shyamgarh Jame Masjid. Hindutva IDs online are boasting that a mosque is being built on the 'land' of the temple and they will not allow any mosque to be built near the temple to facilitate noise pollution and idolatry.</v>
      </c>
      <c r="D1639" s="2"/>
      <c r="E1639" s="2"/>
      <c r="F1639" s="2"/>
      <c r="G1639" s="2"/>
      <c r="H1639" s="3"/>
      <c r="I1639" s="3"/>
      <c r="J1639" s="3"/>
      <c r="K1639" s="3"/>
      <c r="L1639" s="3"/>
      <c r="M1639" s="3"/>
      <c r="N1639" s="3"/>
      <c r="O1639" s="3"/>
      <c r="P1639" s="3"/>
      <c r="Q1639" s="3"/>
      <c r="R1639" s="3"/>
      <c r="S1639" s="3"/>
      <c r="T1639" s="3"/>
      <c r="U1639" s="3"/>
      <c r="V1639" s="3"/>
      <c r="W1639" s="3"/>
      <c r="X1639" s="3"/>
      <c r="Y1639" s="3"/>
      <c r="Z1639" s="3"/>
    </row>
    <row r="1640" spans="1:26" ht="15.6" x14ac:dyDescent="0.3">
      <c r="A1640" s="18" t="s">
        <v>3</v>
      </c>
      <c r="B1640" s="25" t="s">
        <v>1642</v>
      </c>
      <c r="C1640" s="2" t="str">
        <f ca="1">IFERROR(__xludf.DUMMYFUNCTION("GOOGLETRANSLATE(B1640, ""bn"", ""en"")"),"Religion gives a sense of peace to the inner soul of man. It helps him gain peace of mind and perspective, which helps him in any challenge in life.")</f>
        <v>Religion gives a sense of peace to the inner soul of man. It helps him gain peace of mind and perspective, which helps him in any challenge in life.</v>
      </c>
      <c r="D1640" s="2"/>
      <c r="E1640" s="2"/>
      <c r="F1640" s="2"/>
      <c r="G1640" s="2"/>
      <c r="H1640" s="3"/>
      <c r="I1640" s="3"/>
      <c r="J1640" s="3"/>
      <c r="K1640" s="3"/>
      <c r="L1640" s="3"/>
      <c r="M1640" s="3"/>
      <c r="N1640" s="3"/>
      <c r="O1640" s="3"/>
      <c r="P1640" s="3"/>
      <c r="Q1640" s="3"/>
      <c r="R1640" s="3"/>
      <c r="S1640" s="3"/>
      <c r="T1640" s="3"/>
      <c r="U1640" s="3"/>
      <c r="V1640" s="3"/>
      <c r="W1640" s="3"/>
      <c r="X1640" s="3"/>
      <c r="Y1640" s="3"/>
      <c r="Z1640" s="3"/>
    </row>
    <row r="1641" spans="1:26" ht="15.6" x14ac:dyDescent="0.3">
      <c r="A1641" s="18" t="s">
        <v>8</v>
      </c>
      <c r="B1641" s="25" t="s">
        <v>1643</v>
      </c>
      <c r="C1641" s="2" t="str">
        <f ca="1">IFERROR(__xludf.DUMMYFUNCTION("GOOGLETRANSLATE(B1641, ""bn"", ""en"")"),"Minority community press conference in Devidwar protesting the vandalism and looting of Kalimandi")</f>
        <v>Minority community press conference in Devidwar protesting the vandalism and looting of Kalimandi</v>
      </c>
      <c r="D1641" s="5"/>
      <c r="E1641" s="5"/>
      <c r="F1641" s="5"/>
      <c r="G1641" s="5"/>
      <c r="H1641" s="5"/>
      <c r="I1641" s="5"/>
      <c r="J1641" s="5"/>
      <c r="K1641" s="5"/>
      <c r="L1641" s="5"/>
      <c r="M1641" s="5"/>
      <c r="N1641" s="5"/>
      <c r="O1641" s="5"/>
      <c r="P1641" s="5"/>
      <c r="Q1641" s="5"/>
      <c r="R1641" s="5"/>
      <c r="S1641" s="5"/>
      <c r="T1641" s="5"/>
      <c r="U1641" s="5"/>
      <c r="V1641" s="5"/>
      <c r="W1641" s="5"/>
      <c r="X1641" s="5"/>
      <c r="Y1641" s="5"/>
      <c r="Z1641" s="5"/>
    </row>
    <row r="1642" spans="1:26" ht="15.6" x14ac:dyDescent="0.3">
      <c r="A1642" s="18" t="s">
        <v>5</v>
      </c>
      <c r="B1642" s="24" t="s">
        <v>1644</v>
      </c>
      <c r="C1642" s="2" t="str">
        <f ca="1">IFERROR(__xludf.DUMMYFUNCTION("GOOGLETRANSLATE(B1642, ""bn"", ""en"")"),"A religious group killed activists participating in the environmental movement by declaring them 'heretics'; 28 people lost their lives.")</f>
        <v>A religious group killed activists participating in the environmental movement by declaring them 'heretics'; 28 people lost their lives.</v>
      </c>
      <c r="D1642" s="5"/>
      <c r="E1642" s="5"/>
      <c r="F1642" s="5"/>
      <c r="G1642" s="5"/>
      <c r="H1642" s="5"/>
      <c r="I1642" s="5"/>
      <c r="J1642" s="5"/>
      <c r="K1642" s="5"/>
      <c r="L1642" s="5"/>
      <c r="M1642" s="5"/>
      <c r="N1642" s="5"/>
      <c r="O1642" s="5"/>
      <c r="P1642" s="5"/>
      <c r="Q1642" s="5"/>
      <c r="R1642" s="5"/>
      <c r="S1642" s="5"/>
      <c r="T1642" s="5"/>
      <c r="U1642" s="5"/>
      <c r="V1642" s="5"/>
      <c r="W1642" s="5"/>
      <c r="X1642" s="5"/>
      <c r="Y1642" s="5"/>
      <c r="Z1642" s="5"/>
    </row>
    <row r="1643" spans="1:26" ht="15.6" x14ac:dyDescent="0.3">
      <c r="A1643" s="18" t="s">
        <v>3</v>
      </c>
      <c r="B1643" s="25" t="s">
        <v>1486</v>
      </c>
      <c r="C1643" s="2" t="str">
        <f ca="1">IFERROR(__xludf.DUMMYFUNCTION("GOOGLETRANSLATE(B1643, ""bn"", ""en"")"),"The fundamental principles of Islam have been around since the beginning of human creation. However, there were various differences in the method and time of cultivation.")</f>
        <v>The fundamental principles of Islam have been around since the beginning of human creation. However, there were various differences in the method and time of cultivation.</v>
      </c>
      <c r="D1643" s="2"/>
      <c r="E1643" s="2"/>
      <c r="F1643" s="2"/>
      <c r="G1643" s="2"/>
      <c r="H1643" s="3"/>
      <c r="I1643" s="3"/>
      <c r="J1643" s="3"/>
      <c r="K1643" s="3"/>
      <c r="L1643" s="3"/>
      <c r="M1643" s="3"/>
      <c r="N1643" s="3"/>
      <c r="O1643" s="3"/>
      <c r="P1643" s="3"/>
      <c r="Q1643" s="3"/>
      <c r="R1643" s="3"/>
      <c r="S1643" s="3"/>
      <c r="T1643" s="3"/>
      <c r="U1643" s="3"/>
      <c r="V1643" s="3"/>
      <c r="W1643" s="3"/>
      <c r="X1643" s="3"/>
      <c r="Y1643" s="3"/>
      <c r="Z1643" s="3"/>
    </row>
    <row r="1644" spans="1:26" ht="15.6" x14ac:dyDescent="0.3">
      <c r="A1644" s="18" t="s">
        <v>23</v>
      </c>
      <c r="B1644" s="25" t="s">
        <v>1645</v>
      </c>
      <c r="C1644" s="2" t="str">
        <f ca="1">IFERROR(__xludf.DUMMYFUNCTION("GOOGLETRANSLATE(B1644, ""bn"", ""en"")"),"Don't make the mistake of raising your hands to Allah at Iftar against them.")</f>
        <v>Don't make the mistake of raising your hands to Allah at Iftar against them.</v>
      </c>
      <c r="D1644" s="2"/>
      <c r="E1644" s="2"/>
      <c r="F1644" s="2"/>
      <c r="G1644" s="2"/>
      <c r="H1644" s="3"/>
      <c r="I1644" s="3"/>
      <c r="J1644" s="3"/>
      <c r="K1644" s="3"/>
      <c r="L1644" s="3"/>
      <c r="M1644" s="3"/>
      <c r="N1644" s="3"/>
      <c r="O1644" s="3"/>
      <c r="P1644" s="3"/>
      <c r="Q1644" s="3"/>
      <c r="R1644" s="3"/>
      <c r="S1644" s="3"/>
      <c r="T1644" s="3"/>
      <c r="U1644" s="3"/>
      <c r="V1644" s="3"/>
      <c r="W1644" s="3"/>
      <c r="X1644" s="3"/>
      <c r="Y1644" s="3"/>
      <c r="Z1644" s="3"/>
    </row>
    <row r="1645" spans="1:26" ht="15.6" x14ac:dyDescent="0.3">
      <c r="A1645" s="19" t="s">
        <v>8</v>
      </c>
      <c r="B1645" s="26" t="s">
        <v>1646</v>
      </c>
      <c r="C1645" s="2" t="str">
        <f ca="1">IFERROR(__xludf.DUMMYFUNCTION("GOOGLETRANSLATE(B1645, ""bn"", ""en"")"),"In Narsingdi, idols and religious implements were set on fire in local temples on the days and nights of Hindu religious ceremonies.")</f>
        <v>In Narsingdi, idols and religious implements were set on fire in local temples on the days and nights of Hindu religious ceremonies.</v>
      </c>
      <c r="D1645" s="5"/>
      <c r="E1645" s="5"/>
      <c r="F1645" s="5"/>
      <c r="G1645" s="5"/>
      <c r="H1645" s="5"/>
      <c r="I1645" s="5"/>
      <c r="J1645" s="5"/>
      <c r="K1645" s="5"/>
      <c r="L1645" s="5"/>
      <c r="M1645" s="5"/>
      <c r="N1645" s="5"/>
      <c r="O1645" s="5"/>
      <c r="P1645" s="5"/>
      <c r="Q1645" s="5"/>
      <c r="R1645" s="5"/>
      <c r="S1645" s="5"/>
      <c r="T1645" s="5"/>
      <c r="U1645" s="5"/>
      <c r="V1645" s="5"/>
      <c r="W1645" s="5"/>
      <c r="X1645" s="5"/>
      <c r="Y1645" s="5"/>
      <c r="Z1645" s="5"/>
    </row>
    <row r="1646" spans="1:26" ht="15.6" x14ac:dyDescent="0.3">
      <c r="A1646" s="18" t="s">
        <v>8</v>
      </c>
      <c r="B1646" s="25" t="s">
        <v>1647</v>
      </c>
      <c r="C1646" s="2" t="str">
        <f ca="1">IFERROR(__xludf.DUMMYFUNCTION("GOOGLETRANSLATE(B1646, ""bn"", ""en"")"),"In October 1987, a group of youths from this gang attacked Nawroz Modi, a Bengali man of Parsi origin. who were thought to be Hindus. But he is Zoroastrian. As he was leaving a Gold Coast cafe with his friend. The attack left him in a coma. He died four d"&amp;"ays later.")</f>
        <v>In October 1987, a group of youths from this gang attacked Nawroz Modi, a Bengali man of Parsi origin. who were thought to be Hindus. But he is Zoroastrian. As he was leaving a Gold Coast cafe with his friend. The attack left him in a coma. He died four days later.</v>
      </c>
      <c r="D1646" s="5"/>
      <c r="E1646" s="5"/>
      <c r="F1646" s="5"/>
      <c r="G1646" s="5"/>
      <c r="H1646" s="5"/>
      <c r="I1646" s="5"/>
      <c r="J1646" s="5"/>
      <c r="K1646" s="5"/>
      <c r="L1646" s="5"/>
      <c r="M1646" s="5"/>
      <c r="N1646" s="5"/>
      <c r="O1646" s="5"/>
      <c r="P1646" s="5"/>
      <c r="Q1646" s="5"/>
      <c r="R1646" s="5"/>
      <c r="S1646" s="5"/>
      <c r="T1646" s="5"/>
      <c r="U1646" s="5"/>
      <c r="V1646" s="5"/>
      <c r="W1646" s="5"/>
      <c r="X1646" s="5"/>
      <c r="Y1646" s="5"/>
      <c r="Z1646" s="5"/>
    </row>
    <row r="1647" spans="1:26" ht="15.6" x14ac:dyDescent="0.3">
      <c r="A1647" s="19" t="s">
        <v>8</v>
      </c>
      <c r="B1647" s="26" t="s">
        <v>1648</v>
      </c>
      <c r="C1647" s="2" t="str">
        <f ca="1">IFERROR(__xludf.DUMMYFUNCTION("GOOGLETRANSLATE(B1647, ""bn"", ""en"")"),"Hundreds of Dalits left Hinduism and became Buddhists in protest of torture")</f>
        <v>Hundreds of Dalits left Hinduism and became Buddhists in protest of torture</v>
      </c>
      <c r="D1647" s="5"/>
      <c r="E1647" s="5"/>
      <c r="F1647" s="5"/>
      <c r="G1647" s="5"/>
      <c r="H1647" s="5"/>
      <c r="I1647" s="5"/>
      <c r="J1647" s="5"/>
      <c r="K1647" s="5"/>
      <c r="L1647" s="5"/>
      <c r="M1647" s="5"/>
      <c r="N1647" s="5"/>
      <c r="O1647" s="5"/>
      <c r="P1647" s="5"/>
      <c r="Q1647" s="5"/>
      <c r="R1647" s="5"/>
      <c r="S1647" s="5"/>
      <c r="T1647" s="5"/>
      <c r="U1647" s="5"/>
      <c r="V1647" s="5"/>
      <c r="W1647" s="5"/>
      <c r="X1647" s="5"/>
      <c r="Y1647" s="5"/>
      <c r="Z1647" s="5"/>
    </row>
    <row r="1648" spans="1:26" ht="15.6" x14ac:dyDescent="0.3">
      <c r="A1648" s="19" t="s">
        <v>23</v>
      </c>
      <c r="B1648" s="26" t="s">
        <v>1649</v>
      </c>
      <c r="C1648" s="2" t="str">
        <f ca="1">IFERROR(__xludf.DUMMYFUNCTION("GOOGLETRANSLATE(B1648, ""bn"", ""en"")"),"If you search, you will see that the mother and sister of this journalist's house are more disobedient. He will do the calculation of sin and merit. This journalist will not do it again. What act to go viral!!!")</f>
        <v>If you search, you will see that the mother and sister of this journalist's house are more disobedient. He will do the calculation of sin and merit. This journalist will not do it again. What act to go viral!!!</v>
      </c>
      <c r="D1648" s="5"/>
      <c r="E1648" s="5"/>
      <c r="F1648" s="5"/>
      <c r="G1648" s="5"/>
      <c r="H1648" s="5"/>
      <c r="I1648" s="5"/>
      <c r="J1648" s="5"/>
      <c r="K1648" s="5"/>
      <c r="L1648" s="5"/>
      <c r="M1648" s="5"/>
      <c r="N1648" s="5"/>
      <c r="O1648" s="5"/>
      <c r="P1648" s="5"/>
      <c r="Q1648" s="5"/>
      <c r="R1648" s="5"/>
      <c r="S1648" s="5"/>
      <c r="T1648" s="5"/>
      <c r="U1648" s="5"/>
      <c r="V1648" s="5"/>
      <c r="W1648" s="5"/>
      <c r="X1648" s="5"/>
      <c r="Y1648" s="5"/>
      <c r="Z1648" s="5"/>
    </row>
    <row r="1649" spans="1:26" ht="15.6" x14ac:dyDescent="0.3">
      <c r="A1649" s="19" t="s">
        <v>3</v>
      </c>
      <c r="B1649" s="26" t="s">
        <v>1650</v>
      </c>
      <c r="C1649" s="2" t="str">
        <f ca="1">IFERROR(__xludf.DUMMYFUNCTION("GOOGLETRANSLATE(B1649, ""bn"", ""en"")"),"God has described the path of liberation from constant karma and man's sins and heaven/Paradham/Ishvarloka/or God's gift place for God's worship whatever you call it. That God is omnipotent is clearly described in the Gita of Sanatana or Hinduism.")</f>
        <v>God has described the path of liberation from constant karma and man's sins and heaven/Paradham/Ishvarloka/or God's gift place for God's worship whatever you call it. That God is omnipotent is clearly described in the Gita of Sanatana or Hinduism.</v>
      </c>
      <c r="D1649" s="7"/>
      <c r="E1649" s="5"/>
      <c r="F1649" s="5"/>
      <c r="G1649" s="5"/>
      <c r="H1649" s="5"/>
      <c r="I1649" s="5"/>
      <c r="J1649" s="5"/>
      <c r="K1649" s="5"/>
      <c r="L1649" s="5"/>
      <c r="M1649" s="5"/>
      <c r="N1649" s="5"/>
      <c r="O1649" s="5"/>
      <c r="P1649" s="5"/>
      <c r="Q1649" s="5"/>
      <c r="R1649" s="5"/>
      <c r="S1649" s="5"/>
      <c r="T1649" s="5"/>
      <c r="U1649" s="5"/>
      <c r="V1649" s="5"/>
      <c r="W1649" s="5"/>
      <c r="X1649" s="5"/>
      <c r="Y1649" s="5"/>
      <c r="Z1649" s="5"/>
    </row>
    <row r="1650" spans="1:26" ht="15.6" x14ac:dyDescent="0.3">
      <c r="A1650" s="19" t="s">
        <v>23</v>
      </c>
      <c r="B1650" s="26" t="s">
        <v>1651</v>
      </c>
      <c r="C1650" s="2" t="str">
        <f ca="1">IFERROR(__xludf.DUMMYFUNCTION("GOOGLETRANSLATE(B1650, ""bn"", ""en"")"),"Will they still sit and watch? Or they also have a purpose, so they are giving speeches without going to the field.")</f>
        <v>Will they still sit and watch? Or they also have a purpose, so they are giving speeches without going to the field.</v>
      </c>
      <c r="D1650" s="5"/>
      <c r="E1650" s="5"/>
      <c r="F1650" s="5"/>
      <c r="G1650" s="5"/>
      <c r="H1650" s="5"/>
      <c r="I1650" s="5"/>
      <c r="J1650" s="5"/>
      <c r="K1650" s="5"/>
      <c r="L1650" s="5"/>
      <c r="M1650" s="5"/>
      <c r="N1650" s="5"/>
      <c r="O1650" s="5"/>
      <c r="P1650" s="5"/>
      <c r="Q1650" s="5"/>
      <c r="R1650" s="5"/>
      <c r="S1650" s="5"/>
      <c r="T1650" s="5"/>
      <c r="U1650" s="5"/>
      <c r="V1650" s="5"/>
      <c r="W1650" s="5"/>
      <c r="X1650" s="5"/>
      <c r="Y1650" s="5"/>
      <c r="Z1650" s="5"/>
    </row>
    <row r="1651" spans="1:26" ht="15.6" x14ac:dyDescent="0.3">
      <c r="A1651" s="19" t="s">
        <v>23</v>
      </c>
      <c r="B1651" s="26" t="s">
        <v>1652</v>
      </c>
      <c r="C1651" s="2" t="str">
        <f ca="1">IFERROR(__xludf.DUMMYFUNCTION("GOOGLETRANSLATE(B1651, ""bn"", ""en"")"),"Controversy over the terrorist attacks on two mosques in Bangladesh sparked outrage against the media. The attempt to pin the blame for the attack has been described as 'ridiculous'.")</f>
        <v>Controversy over the terrorist attacks on two mosques in Bangladesh sparked outrage against the media. The attempt to pin the blame for the attack has been described as 'ridiculous'.</v>
      </c>
      <c r="D1651" s="7"/>
      <c r="E1651" s="7"/>
      <c r="F1651" s="7"/>
      <c r="G1651" s="7"/>
      <c r="H1651" s="7"/>
      <c r="I1651" s="7"/>
      <c r="J1651" s="7"/>
      <c r="K1651" s="7"/>
      <c r="L1651" s="7"/>
      <c r="M1651" s="5"/>
      <c r="N1651" s="5"/>
      <c r="O1651" s="5"/>
      <c r="P1651" s="5"/>
      <c r="Q1651" s="5"/>
      <c r="R1651" s="5"/>
      <c r="S1651" s="5"/>
      <c r="T1651" s="5"/>
      <c r="U1651" s="5"/>
      <c r="V1651" s="5"/>
      <c r="W1651" s="5"/>
      <c r="X1651" s="5"/>
      <c r="Y1651" s="5"/>
      <c r="Z1651" s="5"/>
    </row>
    <row r="1652" spans="1:26" ht="15.6" x14ac:dyDescent="0.3">
      <c r="A1652" s="18" t="s">
        <v>8</v>
      </c>
      <c r="B1652" s="25" t="s">
        <v>1653</v>
      </c>
      <c r="C1652" s="2" t="str">
        <f ca="1">IFERROR(__xludf.DUMMYFUNCTION("GOOGLETRANSLATE(B1652, ""bn"", ""en"")"),"A man named Ariful Islam came on a motorcycle and vandalized the idol in the temple with sticks and sharp weapons. The temple had two Lakshmi temples, a Kali temple and a Shiva temple.")</f>
        <v>A man named Ariful Islam came on a motorcycle and vandalized the idol in the temple with sticks and sharp weapons. The temple had two Lakshmi temples, a Kali temple and a Shiva temple.</v>
      </c>
      <c r="D1652" s="5"/>
      <c r="E1652" s="5"/>
      <c r="F1652" s="5"/>
      <c r="G1652" s="5"/>
      <c r="H1652" s="5"/>
      <c r="I1652" s="5"/>
      <c r="J1652" s="5"/>
      <c r="K1652" s="5"/>
      <c r="L1652" s="5"/>
      <c r="M1652" s="5"/>
      <c r="N1652" s="5"/>
      <c r="O1652" s="5"/>
      <c r="P1652" s="5"/>
      <c r="Q1652" s="5"/>
      <c r="R1652" s="5"/>
      <c r="S1652" s="5"/>
      <c r="T1652" s="5"/>
      <c r="U1652" s="5"/>
      <c r="V1652" s="5"/>
      <c r="W1652" s="5"/>
      <c r="X1652" s="5"/>
      <c r="Y1652" s="5"/>
      <c r="Z1652" s="5"/>
    </row>
    <row r="1653" spans="1:26" ht="15.6" x14ac:dyDescent="0.3">
      <c r="A1653" s="19" t="s">
        <v>3</v>
      </c>
      <c r="B1653" s="26" t="s">
        <v>1654</v>
      </c>
      <c r="C1653" s="2" t="str">
        <f ca="1">IFERROR(__xludf.DUMMYFUNCTION("GOOGLETRANSLATE(B1653, ""bn"", ""en"")"),"The change that the people of the Hindu community have noticed towards Islam during the tenure of the current government has created a different experience compared to the previous period.")</f>
        <v>The change that the people of the Hindu community have noticed towards Islam during the tenure of the current government has created a different experience compared to the previous period.</v>
      </c>
      <c r="D1653" s="5"/>
      <c r="E1653" s="5"/>
      <c r="F1653" s="5"/>
      <c r="G1653" s="5"/>
      <c r="H1653" s="5"/>
      <c r="I1653" s="5"/>
      <c r="J1653" s="5"/>
      <c r="K1653" s="5"/>
      <c r="L1653" s="5"/>
      <c r="M1653" s="5"/>
      <c r="N1653" s="5"/>
      <c r="O1653" s="5"/>
      <c r="P1653" s="5"/>
      <c r="Q1653" s="5"/>
      <c r="R1653" s="5"/>
      <c r="S1653" s="5"/>
      <c r="T1653" s="5"/>
      <c r="U1653" s="5"/>
      <c r="V1653" s="5"/>
      <c r="W1653" s="5"/>
      <c r="X1653" s="5"/>
      <c r="Y1653" s="5"/>
      <c r="Z1653" s="5"/>
    </row>
    <row r="1654" spans="1:26" ht="15.6" x14ac:dyDescent="0.3">
      <c r="A1654" s="19" t="s">
        <v>8</v>
      </c>
      <c r="B1654" s="26" t="s">
        <v>1655</v>
      </c>
      <c r="C1654" s="2" t="str">
        <f ca="1">IFERROR(__xludf.DUMMYFUNCTION("GOOGLETRANSLATE(B1654, ""bn"", ""en"")"),"They particularly attacked the Hindu minority, destroying their homes and businesses, vandalizing and setting fire to their temples. According to community leaders, more than 50 Hindu temples and 1,500 Hindu houses were destroyed in 20 districts.")</f>
        <v>They particularly attacked the Hindu minority, destroying their homes and businesses, vandalizing and setting fire to their temples. According to community leaders, more than 50 Hindu temples and 1,500 Hindu houses were destroyed in 20 districts.</v>
      </c>
      <c r="D1654" s="7"/>
      <c r="E1654" s="5"/>
      <c r="F1654" s="5"/>
      <c r="G1654" s="5"/>
      <c r="H1654" s="5"/>
      <c r="I1654" s="5"/>
      <c r="J1654" s="5"/>
      <c r="K1654" s="5"/>
      <c r="L1654" s="5"/>
      <c r="M1654" s="5"/>
      <c r="N1654" s="5"/>
      <c r="O1654" s="5"/>
      <c r="P1654" s="5"/>
      <c r="Q1654" s="5"/>
      <c r="R1654" s="5"/>
      <c r="S1654" s="5"/>
      <c r="T1654" s="5"/>
      <c r="U1654" s="5"/>
      <c r="V1654" s="5"/>
      <c r="W1654" s="5"/>
      <c r="X1654" s="5"/>
      <c r="Y1654" s="5"/>
      <c r="Z1654" s="5"/>
    </row>
    <row r="1655" spans="1:26" ht="15.6" x14ac:dyDescent="0.3">
      <c r="A1655" s="18" t="s">
        <v>23</v>
      </c>
      <c r="B1655" s="25" t="s">
        <v>1656</v>
      </c>
      <c r="C1655" s="2" t="str">
        <f ca="1">IFERROR(__xludf.DUMMYFUNCTION("GOOGLETRANSLATE(B1655, ""bn"", ""en"")"),"May Allah guide those who have read our Holy Qur'an or destroy them with wrath")</f>
        <v>May Allah guide those who have read our Holy Qur'an or destroy them with wrath</v>
      </c>
      <c r="D1655" s="5"/>
      <c r="E1655" s="5"/>
      <c r="F1655" s="5"/>
      <c r="G1655" s="5"/>
      <c r="H1655" s="5"/>
      <c r="I1655" s="5"/>
      <c r="J1655" s="5"/>
      <c r="K1655" s="5"/>
      <c r="L1655" s="5"/>
      <c r="M1655" s="5"/>
      <c r="N1655" s="5"/>
      <c r="O1655" s="5"/>
      <c r="P1655" s="5"/>
      <c r="Q1655" s="5"/>
      <c r="R1655" s="5"/>
      <c r="S1655" s="5"/>
      <c r="T1655" s="5"/>
      <c r="U1655" s="5"/>
      <c r="V1655" s="5"/>
      <c r="W1655" s="5"/>
      <c r="X1655" s="5"/>
      <c r="Y1655" s="5"/>
      <c r="Z1655" s="5"/>
    </row>
    <row r="1656" spans="1:26" ht="15.6" x14ac:dyDescent="0.3">
      <c r="A1656" s="19" t="s">
        <v>3</v>
      </c>
      <c r="B1656" s="26" t="s">
        <v>1657</v>
      </c>
      <c r="C1656" s="2" t="str">
        <f ca="1">IFERROR(__xludf.DUMMYFUNCTION("GOOGLETRANSLATE(B1656, ""bn"", ""en"")"),"Our chairman has made a place for praying in the corner of the department despite the fact that there is a mosque next to it.")</f>
        <v>Our chairman has made a place for praying in the corner of the department despite the fact that there is a mosque next to it.</v>
      </c>
      <c r="D1656" s="5"/>
      <c r="E1656" s="5"/>
      <c r="F1656" s="5"/>
      <c r="G1656" s="5"/>
      <c r="H1656" s="5"/>
      <c r="I1656" s="5"/>
      <c r="J1656" s="5"/>
      <c r="K1656" s="5"/>
      <c r="L1656" s="5"/>
      <c r="M1656" s="5"/>
      <c r="N1656" s="5"/>
      <c r="O1656" s="5"/>
      <c r="P1656" s="5"/>
      <c r="Q1656" s="5"/>
      <c r="R1656" s="5"/>
      <c r="S1656" s="5"/>
      <c r="T1656" s="5"/>
      <c r="U1656" s="5"/>
      <c r="V1656" s="5"/>
      <c r="W1656" s="5"/>
      <c r="X1656" s="5"/>
      <c r="Y1656" s="5"/>
      <c r="Z1656" s="5"/>
    </row>
    <row r="1657" spans="1:26" ht="15.6" x14ac:dyDescent="0.3">
      <c r="A1657" s="18" t="s">
        <v>5</v>
      </c>
      <c r="B1657" s="24" t="s">
        <v>1658</v>
      </c>
      <c r="C1657" s="2" t="str">
        <f ca="1">IFERROR(__xludf.DUMMYFUNCTION("GOOGLETRANSLATE(B1657, ""bn"", ""en"")"),"40 people were killed in Netrakona clashes due to religious hatred. Even though the police had the situation under control, the violence did not subside. The government called upon all to maintain calm and religious tolerance. Many minority families seek "&amp;"shelter due to lack of security.")</f>
        <v>40 people were killed in Netrakona clashes due to religious hatred. Even though the police had the situation under control, the violence did not subside. The government called upon all to maintain calm and religious tolerance. Many minority families seek shelter due to lack of security.</v>
      </c>
      <c r="D1657" s="5"/>
      <c r="E1657" s="5"/>
      <c r="F1657" s="5"/>
      <c r="G1657" s="5"/>
      <c r="H1657" s="5"/>
      <c r="I1657" s="5"/>
      <c r="J1657" s="5"/>
      <c r="K1657" s="5"/>
      <c r="L1657" s="5"/>
      <c r="M1657" s="5"/>
      <c r="N1657" s="5"/>
      <c r="O1657" s="5"/>
      <c r="P1657" s="5"/>
      <c r="Q1657" s="5"/>
      <c r="R1657" s="5"/>
      <c r="S1657" s="5"/>
      <c r="T1657" s="5"/>
      <c r="U1657" s="5"/>
      <c r="V1657" s="5"/>
      <c r="W1657" s="5"/>
      <c r="X1657" s="5"/>
      <c r="Y1657" s="5"/>
      <c r="Z1657" s="5"/>
    </row>
    <row r="1658" spans="1:26" ht="15.6" x14ac:dyDescent="0.3">
      <c r="A1658" s="18" t="s">
        <v>5</v>
      </c>
      <c r="B1658" s="24" t="s">
        <v>1659</v>
      </c>
      <c r="C1658" s="2" t="str">
        <f ca="1">IFERROR(__xludf.DUMMYFUNCTION("GOOGLETRANSLATE(B1658, ""bn"", ""en"")"),"In March 2020, a group sexually assaulted and killed an orphaned child due to religious misogyny, followed by 10 suicides.")</f>
        <v>In March 2020, a group sexually assaulted and killed an orphaned child due to religious misogyny, followed by 10 suicides.</v>
      </c>
      <c r="D1658" s="5"/>
      <c r="E1658" s="5"/>
      <c r="F1658" s="5"/>
      <c r="G1658" s="5"/>
      <c r="H1658" s="5"/>
      <c r="I1658" s="5"/>
      <c r="J1658" s="5"/>
      <c r="K1658" s="5"/>
      <c r="L1658" s="5"/>
      <c r="M1658" s="5"/>
      <c r="N1658" s="5"/>
      <c r="O1658" s="5"/>
      <c r="P1658" s="5"/>
      <c r="Q1658" s="5"/>
      <c r="R1658" s="5"/>
      <c r="S1658" s="5"/>
      <c r="T1658" s="5"/>
      <c r="U1658" s="5"/>
      <c r="V1658" s="5"/>
      <c r="W1658" s="5"/>
      <c r="X1658" s="5"/>
      <c r="Y1658" s="5"/>
      <c r="Z1658" s="5"/>
    </row>
    <row r="1659" spans="1:26" ht="15.6" x14ac:dyDescent="0.3">
      <c r="A1659" s="18" t="s">
        <v>23</v>
      </c>
      <c r="B1659" s="25" t="s">
        <v>1660</v>
      </c>
      <c r="C1659" s="2" t="str">
        <f ca="1">IFERROR(__xludf.DUMMYFUNCTION("GOOGLETRANSLATE(B1659, ""bn"", ""en"")"),"As much as Sushil's problem in burka! If she had given pictures in a short dress, there would have been no problem. They enjoyed the girl. Alas civil!")</f>
        <v>As much as Sushil's problem in burka! If she had given pictures in a short dress, there would have been no problem. They enjoyed the girl. Alas civil!</v>
      </c>
      <c r="D1659" s="5"/>
      <c r="E1659" s="5"/>
      <c r="F1659" s="5"/>
      <c r="G1659" s="5"/>
      <c r="H1659" s="5"/>
      <c r="I1659" s="5"/>
      <c r="J1659" s="5"/>
      <c r="K1659" s="5"/>
      <c r="L1659" s="5"/>
      <c r="M1659" s="5"/>
      <c r="N1659" s="5"/>
      <c r="O1659" s="5"/>
      <c r="P1659" s="5"/>
      <c r="Q1659" s="5"/>
      <c r="R1659" s="5"/>
      <c r="S1659" s="5"/>
      <c r="T1659" s="5"/>
      <c r="U1659" s="5"/>
      <c r="V1659" s="5"/>
      <c r="W1659" s="5"/>
      <c r="X1659" s="5"/>
      <c r="Y1659" s="5"/>
      <c r="Z1659" s="5"/>
    </row>
    <row r="1660" spans="1:26" ht="15.6" x14ac:dyDescent="0.3">
      <c r="A1660" s="18" t="s">
        <v>5</v>
      </c>
      <c r="B1660" s="25" t="s">
        <v>1661</v>
      </c>
      <c r="C1660" s="2" t="str">
        <f ca="1">IFERROR(__xludf.DUMMYFUNCTION("GOOGLETRANSLATE(B1660, ""bn"", ""en"")"),"Army attacked the Hindu dominated villages of Char Bhadrasan. One morning in mid-May, around 6 am, the attackers surrounded the three villages of Vaidyadangi, Majhidangi and Baladangi from three sides. They killed, looted and set fire to 300-350 Hindu fam"&amp;"ilies and about 50-60 unarmed Hindu men and women, the survivors fled.")</f>
        <v>Army attacked the Hindu dominated villages of Char Bhadrasan. One morning in mid-May, around 6 am, the attackers surrounded the three villages of Vaidyadangi, Majhidangi and Baladangi from three sides. They killed, looted and set fire to 300-350 Hindu families and about 50-60 unarmed Hindu men and women, the survivors fled.</v>
      </c>
      <c r="D1660" s="2"/>
      <c r="E1660" s="2"/>
      <c r="F1660" s="2"/>
      <c r="G1660" s="2"/>
      <c r="H1660" s="3"/>
      <c r="I1660" s="3"/>
      <c r="J1660" s="3"/>
      <c r="K1660" s="3"/>
      <c r="L1660" s="3"/>
      <c r="M1660" s="3"/>
      <c r="N1660" s="3"/>
      <c r="O1660" s="3"/>
      <c r="P1660" s="3"/>
      <c r="Q1660" s="3"/>
      <c r="R1660" s="3"/>
      <c r="S1660" s="3"/>
      <c r="T1660" s="3"/>
      <c r="U1660" s="3"/>
      <c r="V1660" s="3"/>
      <c r="W1660" s="3"/>
      <c r="X1660" s="3"/>
      <c r="Y1660" s="3"/>
      <c r="Z1660" s="3"/>
    </row>
    <row r="1661" spans="1:26" ht="15.6" x14ac:dyDescent="0.3">
      <c r="A1661" s="18" t="s">
        <v>23</v>
      </c>
      <c r="B1661" s="25" t="s">
        <v>1662</v>
      </c>
      <c r="C1661" s="2" t="str">
        <f ca="1">IFERROR(__xludf.DUMMYFUNCTION("GOOGLETRANSLATE(B1661, ""bn"", ""en"")"),"Feminism is an anti-Islamic ideology, they have no place in Muslim society, they are a tool to destroy religion.")</f>
        <v>Feminism is an anti-Islamic ideology, they have no place in Muslim society, they are a tool to destroy religion.</v>
      </c>
      <c r="D1661" s="5"/>
      <c r="E1661" s="5"/>
      <c r="F1661" s="5"/>
      <c r="G1661" s="5"/>
      <c r="H1661" s="5"/>
      <c r="I1661" s="5"/>
      <c r="J1661" s="5"/>
      <c r="K1661" s="5"/>
      <c r="L1661" s="5"/>
      <c r="M1661" s="5"/>
      <c r="N1661" s="5"/>
      <c r="O1661" s="5"/>
      <c r="P1661" s="5"/>
      <c r="Q1661" s="5"/>
      <c r="R1661" s="5"/>
      <c r="S1661" s="5"/>
      <c r="T1661" s="5"/>
      <c r="U1661" s="5"/>
      <c r="V1661" s="5"/>
      <c r="W1661" s="5"/>
      <c r="X1661" s="5"/>
      <c r="Y1661" s="5"/>
      <c r="Z1661" s="5"/>
    </row>
    <row r="1662" spans="1:26" ht="15.6" x14ac:dyDescent="0.3">
      <c r="A1662" s="19" t="s">
        <v>23</v>
      </c>
      <c r="B1662" s="26" t="s">
        <v>1663</v>
      </c>
      <c r="C1662" s="2" t="str">
        <f ca="1">IFERROR(__xludf.DUMMYFUNCTION("GOOGLETRANSLATE(B1662, ""bn"", ""en"")"),"Hundreds were killed and 438 injured in Hindu and Muslim riots.")</f>
        <v>Hundreds were killed and 438 injured in Hindu and Muslim riots.</v>
      </c>
      <c r="D1662" s="5"/>
      <c r="E1662" s="5"/>
      <c r="F1662" s="5"/>
      <c r="G1662" s="5"/>
      <c r="H1662" s="5"/>
      <c r="I1662" s="5"/>
      <c r="J1662" s="5"/>
      <c r="K1662" s="5"/>
      <c r="L1662" s="5"/>
      <c r="M1662" s="5"/>
      <c r="N1662" s="5"/>
      <c r="O1662" s="5"/>
      <c r="P1662" s="5"/>
      <c r="Q1662" s="5"/>
      <c r="R1662" s="5"/>
      <c r="S1662" s="5"/>
      <c r="T1662" s="5"/>
      <c r="U1662" s="5"/>
      <c r="V1662" s="5"/>
      <c r="W1662" s="5"/>
      <c r="X1662" s="5"/>
      <c r="Y1662" s="5"/>
      <c r="Z1662" s="5"/>
    </row>
    <row r="1663" spans="1:26" ht="15.6" x14ac:dyDescent="0.3">
      <c r="A1663" s="19" t="s">
        <v>23</v>
      </c>
      <c r="B1663" s="26" t="s">
        <v>1664</v>
      </c>
      <c r="C1663" s="2" t="str">
        <f ca="1">IFERROR(__xludf.DUMMYFUNCTION("GOOGLETRANSLATE(B1663, ""bn"", ""en"")"),"If you make a video about your own religion, you get hurt about Hinduism, even about a fisherman, guts do not decrease.")</f>
        <v>If you make a video about your own religion, you get hurt about Hinduism, even about a fisherman, guts do not decrease.</v>
      </c>
      <c r="D1663" s="7"/>
      <c r="E1663" s="5"/>
      <c r="F1663" s="5"/>
      <c r="G1663" s="5"/>
      <c r="H1663" s="5"/>
      <c r="I1663" s="5"/>
      <c r="J1663" s="5"/>
      <c r="K1663" s="5"/>
      <c r="L1663" s="5"/>
      <c r="M1663" s="5"/>
      <c r="N1663" s="5"/>
      <c r="O1663" s="5"/>
      <c r="P1663" s="5"/>
      <c r="Q1663" s="5"/>
      <c r="R1663" s="5"/>
      <c r="S1663" s="5"/>
      <c r="T1663" s="5"/>
      <c r="U1663" s="5"/>
      <c r="V1663" s="5"/>
      <c r="W1663" s="5"/>
      <c r="X1663" s="5"/>
      <c r="Y1663" s="5"/>
      <c r="Z1663" s="5"/>
    </row>
    <row r="1664" spans="1:26" ht="15.6" x14ac:dyDescent="0.3">
      <c r="A1664" s="18" t="s">
        <v>8</v>
      </c>
      <c r="B1664" s="24" t="s">
        <v>1665</v>
      </c>
      <c r="C1664" s="2" t="str">
        <f ca="1">IFERROR(__xludf.DUMMYFUNCTION("GOOGLETRANSLATE(B1664, ""bn"", ""en"")"),"On August 18, 2024, a group of miscreants vandalized the idol-making site and chased away the potters before Durga Puja in Sonaimuri, Noakhali.")</f>
        <v>On August 18, 2024, a group of miscreants vandalized the idol-making site and chased away the potters before Durga Puja in Sonaimuri, Noakhali.</v>
      </c>
      <c r="D1664" s="5"/>
      <c r="E1664" s="5"/>
      <c r="F1664" s="5"/>
      <c r="G1664" s="5"/>
      <c r="H1664" s="5"/>
      <c r="I1664" s="5"/>
      <c r="J1664" s="5"/>
      <c r="K1664" s="5"/>
      <c r="L1664" s="5"/>
      <c r="M1664" s="5"/>
      <c r="N1664" s="5"/>
      <c r="O1664" s="5"/>
      <c r="P1664" s="5"/>
      <c r="Q1664" s="5"/>
      <c r="R1664" s="5"/>
      <c r="S1664" s="5"/>
      <c r="T1664" s="5"/>
      <c r="U1664" s="5"/>
      <c r="V1664" s="5"/>
      <c r="W1664" s="5"/>
      <c r="X1664" s="5"/>
      <c r="Y1664" s="5"/>
      <c r="Z1664" s="5"/>
    </row>
    <row r="1665" spans="1:26" ht="15.6" x14ac:dyDescent="0.3">
      <c r="A1665" s="18" t="s">
        <v>23</v>
      </c>
      <c r="B1665" s="24" t="s">
        <v>1666</v>
      </c>
      <c r="C1665" s="2" t="str">
        <f ca="1">IFERROR(__xludf.DUMMYFUNCTION("GOOGLETRANSLATE(B1665, ""bn"", ""en"")"),"Some sections of the Hindu community are spreading religious extremism and creating communal unrest in the country.")</f>
        <v>Some sections of the Hindu community are spreading religious extremism and creating communal unrest in the country.</v>
      </c>
      <c r="D1665" s="5"/>
      <c r="E1665" s="5"/>
      <c r="F1665" s="5"/>
      <c r="G1665" s="5"/>
      <c r="H1665" s="5"/>
      <c r="I1665" s="5"/>
      <c r="J1665" s="5"/>
      <c r="K1665" s="5"/>
      <c r="L1665" s="5"/>
      <c r="M1665" s="5"/>
      <c r="N1665" s="5"/>
      <c r="O1665" s="5"/>
      <c r="P1665" s="5"/>
      <c r="Q1665" s="5"/>
      <c r="R1665" s="5"/>
      <c r="S1665" s="5"/>
      <c r="T1665" s="5"/>
      <c r="U1665" s="5"/>
      <c r="V1665" s="5"/>
      <c r="W1665" s="5"/>
      <c r="X1665" s="5"/>
      <c r="Y1665" s="5"/>
      <c r="Z1665" s="5"/>
    </row>
    <row r="1666" spans="1:26" ht="15.6" x14ac:dyDescent="0.3">
      <c r="A1666" s="18" t="s">
        <v>23</v>
      </c>
      <c r="B1666" s="25" t="s">
        <v>1667</v>
      </c>
      <c r="C1666" s="2" t="str">
        <f ca="1">IFERROR(__xludf.DUMMYFUNCTION("GOOGLETRANSLATE(B1666, ""bn"", ""en"")"),"Whoever insults the Qur'an should be punished by memorizing 30 verses with translation. Then he himself will understand what he has done.")</f>
        <v>Whoever insults the Qur'an should be punished by memorizing 30 verses with translation. Then he himself will understand what he has done.</v>
      </c>
      <c r="D1666" s="2"/>
      <c r="E1666" s="2"/>
      <c r="F1666" s="2"/>
      <c r="G1666" s="2"/>
      <c r="H1666" s="3"/>
      <c r="I1666" s="3"/>
      <c r="J1666" s="3"/>
      <c r="K1666" s="3"/>
      <c r="L1666" s="3"/>
      <c r="M1666" s="3"/>
      <c r="N1666" s="3"/>
      <c r="O1666" s="3"/>
      <c r="P1666" s="3"/>
      <c r="Q1666" s="3"/>
      <c r="R1666" s="3"/>
      <c r="S1666" s="3"/>
      <c r="T1666" s="3"/>
      <c r="U1666" s="3"/>
      <c r="V1666" s="3"/>
      <c r="W1666" s="3"/>
      <c r="X1666" s="3"/>
      <c r="Y1666" s="3"/>
      <c r="Z1666" s="3"/>
    </row>
    <row r="1667" spans="1:26" ht="15.6" x14ac:dyDescent="0.3">
      <c r="A1667" s="19" t="s">
        <v>8</v>
      </c>
      <c r="B1667" s="26" t="s">
        <v>1668</v>
      </c>
      <c r="C1667" s="2" t="str">
        <f ca="1">IFERROR(__xludf.DUMMYFUNCTION("GOOGLETRANSLATE(B1667, ""bn"", ""en"")"),"70 to 80 BNP leaders and activists on January 5 in Abhaynagar Upazila of Jessore District; Around 10 am at least 5 Hindus were attacked for the crime of voting.")</f>
        <v>70 to 80 BNP leaders and activists on January 5 in Abhaynagar Upazila of Jessore District; Around 10 am at least 5 Hindus were attacked for the crime of voting.</v>
      </c>
      <c r="D1667" s="5"/>
      <c r="E1667" s="5"/>
      <c r="F1667" s="5"/>
      <c r="G1667" s="5"/>
      <c r="H1667" s="5"/>
      <c r="I1667" s="5"/>
      <c r="J1667" s="5"/>
      <c r="K1667" s="5"/>
      <c r="L1667" s="5"/>
      <c r="M1667" s="5"/>
      <c r="N1667" s="5"/>
      <c r="O1667" s="5"/>
      <c r="P1667" s="5"/>
      <c r="Q1667" s="5"/>
      <c r="R1667" s="5"/>
      <c r="S1667" s="5"/>
      <c r="T1667" s="5"/>
      <c r="U1667" s="5"/>
      <c r="V1667" s="5"/>
      <c r="W1667" s="5"/>
      <c r="X1667" s="5"/>
      <c r="Y1667" s="5"/>
      <c r="Z1667" s="5"/>
    </row>
    <row r="1668" spans="1:26" ht="15.6" x14ac:dyDescent="0.3">
      <c r="A1668" s="18" t="s">
        <v>8</v>
      </c>
      <c r="B1668" s="24" t="s">
        <v>1669</v>
      </c>
      <c r="C1668" s="2" t="str">
        <f ca="1">IFERROR(__xludf.DUMMYFUNCTION("GOOGLETRANSLATE(B1668, ""bn"", ""en"")"),"On August 14, 2023, an idol was thrown to the ground at a Harishava temple in Sirajganj's Ullapara.")</f>
        <v>On August 14, 2023, an idol was thrown to the ground at a Harishava temple in Sirajganj's Ullapara.</v>
      </c>
      <c r="D1668" s="5"/>
      <c r="E1668" s="5"/>
      <c r="F1668" s="5"/>
      <c r="G1668" s="5"/>
      <c r="H1668" s="5"/>
      <c r="I1668" s="5"/>
      <c r="J1668" s="5"/>
      <c r="K1668" s="5"/>
      <c r="L1668" s="5"/>
      <c r="M1668" s="5"/>
      <c r="N1668" s="5"/>
      <c r="O1668" s="5"/>
      <c r="P1668" s="5"/>
      <c r="Q1668" s="5"/>
      <c r="R1668" s="5"/>
      <c r="S1668" s="5"/>
      <c r="T1668" s="5"/>
      <c r="U1668" s="5"/>
      <c r="V1668" s="5"/>
      <c r="W1668" s="5"/>
      <c r="X1668" s="5"/>
      <c r="Y1668" s="5"/>
      <c r="Z1668" s="5"/>
    </row>
    <row r="1669" spans="1:26" ht="15.6" x14ac:dyDescent="0.3">
      <c r="A1669" s="19" t="s">
        <v>5</v>
      </c>
      <c r="B1669" s="26" t="s">
        <v>1670</v>
      </c>
      <c r="C1669" s="2" t="str">
        <f ca="1">IFERROR(__xludf.DUMMYFUNCTION("GOOGLETRANSLATE(B1669, ""bn"", ""en"")"),"In this situation, from August 16 to August 20, about 4,000 people of both religions were killed and 10,000 people were injured. Even in these dire times, some risked their lives to prevent communal unrest.")</f>
        <v>In this situation, from August 16 to August 20, about 4,000 people of both religions were killed and 10,000 people were injured. Even in these dire times, some risked their lives to prevent communal unrest.</v>
      </c>
      <c r="D1669" s="7"/>
      <c r="E1669" s="7"/>
      <c r="F1669" s="7"/>
      <c r="G1669" s="2"/>
      <c r="H1669" s="5"/>
      <c r="I1669" s="5"/>
      <c r="J1669" s="5"/>
      <c r="K1669" s="5"/>
      <c r="L1669" s="5"/>
      <c r="M1669" s="5"/>
      <c r="N1669" s="5"/>
      <c r="O1669" s="5"/>
      <c r="P1669" s="5"/>
      <c r="Q1669" s="5"/>
      <c r="R1669" s="5"/>
      <c r="S1669" s="5"/>
      <c r="T1669" s="5"/>
      <c r="U1669" s="5"/>
      <c r="V1669" s="5"/>
      <c r="W1669" s="5"/>
      <c r="X1669" s="5"/>
      <c r="Y1669" s="5"/>
      <c r="Z1669" s="5"/>
    </row>
    <row r="1670" spans="1:26" ht="15.6" x14ac:dyDescent="0.3">
      <c r="A1670" s="18" t="s">
        <v>23</v>
      </c>
      <c r="B1670" s="25" t="s">
        <v>1671</v>
      </c>
      <c r="C1670" s="2" t="str">
        <f ca="1">IFERROR(__xludf.DUMMYFUNCTION("GOOGLETRANSLATE(B1670, ""bn"", ""en"")"),"Christian rulers forcibly converted Hindus, took away their right to practice their religion by law, this is religious barbarism.")</f>
        <v>Christian rulers forcibly converted Hindus, took away their right to practice their religion by law, this is religious barbarism.</v>
      </c>
      <c r="D1670" s="5"/>
      <c r="E1670" s="5"/>
      <c r="F1670" s="5"/>
      <c r="G1670" s="5"/>
      <c r="H1670" s="5"/>
      <c r="I1670" s="5"/>
      <c r="J1670" s="5"/>
      <c r="K1670" s="5"/>
      <c r="L1670" s="5"/>
      <c r="M1670" s="5"/>
      <c r="N1670" s="5"/>
      <c r="O1670" s="5"/>
      <c r="P1670" s="5"/>
      <c r="Q1670" s="5"/>
      <c r="R1670" s="5"/>
      <c r="S1670" s="5"/>
      <c r="T1670" s="5"/>
      <c r="U1670" s="5"/>
      <c r="V1670" s="5"/>
      <c r="W1670" s="5"/>
      <c r="X1670" s="5"/>
      <c r="Y1670" s="5"/>
      <c r="Z1670" s="5"/>
    </row>
    <row r="1671" spans="1:26" ht="15.6" x14ac:dyDescent="0.3">
      <c r="A1671" s="19" t="s">
        <v>3</v>
      </c>
      <c r="B1671" s="26" t="s">
        <v>1672</v>
      </c>
      <c r="C1671" s="2" t="str">
        <f ca="1">IFERROR(__xludf.DUMMYFUNCTION("GOOGLETRANSLATE(B1671, ""bn"", ""en"")"),"Some people in Bangladesh went outside the social norms and embraced Islam, which was against the prevailing ideas of the time.")</f>
        <v>Some people in Bangladesh went outside the social norms and embraced Islam, which was against the prevailing ideas of the time.</v>
      </c>
      <c r="D1671" s="7"/>
      <c r="E1671" s="7"/>
      <c r="F1671" s="7"/>
      <c r="G1671" s="7"/>
      <c r="H1671" s="7"/>
      <c r="I1671" s="5"/>
      <c r="J1671" s="5"/>
      <c r="K1671" s="5"/>
      <c r="L1671" s="5"/>
      <c r="M1671" s="5"/>
      <c r="N1671" s="5"/>
      <c r="O1671" s="5"/>
      <c r="P1671" s="5"/>
      <c r="Q1671" s="5"/>
      <c r="R1671" s="5"/>
      <c r="S1671" s="5"/>
      <c r="T1671" s="5"/>
      <c r="U1671" s="5"/>
      <c r="V1671" s="5"/>
      <c r="W1671" s="5"/>
      <c r="X1671" s="5"/>
      <c r="Y1671" s="5"/>
      <c r="Z1671" s="5"/>
    </row>
    <row r="1672" spans="1:26" ht="15.6" x14ac:dyDescent="0.3">
      <c r="A1672" s="18" t="s">
        <v>5</v>
      </c>
      <c r="B1672" s="25" t="s">
        <v>1673</v>
      </c>
      <c r="C1672" s="2" t="str">
        <f ca="1">IFERROR(__xludf.DUMMYFUNCTION("GOOGLETRANSLATE(B1672, ""bn"", ""en"")"),"Looting, killings and fires started in Raipur and Ramganj on October 10. On October 14, after seeing the fire in the villages adjacent to Raiganj Bazar, about two hundred women took refuge in the local police station. Organized Muslim mobs broke the idols"&amp;" of all the gods and goddesses of Raipur, destroyed the temples and looted the Hindu shops and entered the police station.")</f>
        <v>Looting, killings and fires started in Raipur and Ramganj on October 10. On October 14, after seeing the fire in the villages adjacent to Raiganj Bazar, about two hundred women took refuge in the local police station. Organized Muslim mobs broke the idols of all the gods and goddesses of Raipur, destroyed the temples and looted the Hindu shops and entered the police station.</v>
      </c>
      <c r="D1672" s="5"/>
      <c r="E1672" s="5"/>
      <c r="F1672" s="5"/>
      <c r="G1672" s="5"/>
      <c r="H1672" s="5"/>
      <c r="I1672" s="5"/>
      <c r="J1672" s="5"/>
      <c r="K1672" s="5"/>
      <c r="L1672" s="5"/>
      <c r="M1672" s="5"/>
      <c r="N1672" s="5"/>
      <c r="O1672" s="5"/>
      <c r="P1672" s="5"/>
      <c r="Q1672" s="5"/>
      <c r="R1672" s="5"/>
      <c r="S1672" s="5"/>
      <c r="T1672" s="5"/>
      <c r="U1672" s="5"/>
      <c r="V1672" s="5"/>
      <c r="W1672" s="5"/>
      <c r="X1672" s="5"/>
      <c r="Y1672" s="5"/>
      <c r="Z1672" s="5"/>
    </row>
    <row r="1673" spans="1:26" ht="15.6" x14ac:dyDescent="0.3">
      <c r="A1673" s="18" t="s">
        <v>8</v>
      </c>
      <c r="B1673" s="25" t="s">
        <v>1674</v>
      </c>
      <c r="C1673" s="2" t="str">
        <f ca="1">IFERROR(__xludf.DUMMYFUNCTION("GOOGLETRANSLATE(B1673, ""bn"", ""en"")"),"An old man named Kunj Kumar was burnt to death by the rioters. [34] At 12 noon on 13 October, a group of 200-250 heavily armed Muslims attacked the Hindus of Changirgaon. They burned 1,500 maunds of paddy belonging to the Hindus. All the temples in the ar"&amp;"ea were demolished. They broke the shells of all the Hindu women, wiped off the vermilion of the Sinthi and forced the Hindu men to pray. [35]")</f>
        <v>An old man named Kunj Kumar was burnt to death by the rioters. [34] At 12 noon on 13 October, a group of 200-250 heavily armed Muslims attacked the Hindus of Changirgaon. They burned 1,500 maunds of paddy belonging to the Hindus. All the temples in the area were demolished. They broke the shells of all the Hindu women, wiped off the vermilion of the Sinthi and forced the Hindu men to pray. [35]</v>
      </c>
      <c r="D1673" s="2"/>
      <c r="E1673" s="2"/>
      <c r="F1673" s="2"/>
      <c r="G1673" s="2"/>
      <c r="H1673" s="3"/>
      <c r="I1673" s="3"/>
      <c r="J1673" s="3"/>
      <c r="K1673" s="3"/>
      <c r="L1673" s="3"/>
      <c r="M1673" s="3"/>
      <c r="N1673" s="3"/>
      <c r="O1673" s="3"/>
      <c r="P1673" s="3"/>
      <c r="Q1673" s="3"/>
      <c r="R1673" s="3"/>
      <c r="S1673" s="3"/>
      <c r="T1673" s="3"/>
      <c r="U1673" s="3"/>
      <c r="V1673" s="3"/>
      <c r="W1673" s="3"/>
      <c r="X1673" s="3"/>
      <c r="Y1673" s="3"/>
      <c r="Z1673" s="3"/>
    </row>
    <row r="1674" spans="1:26" ht="15.6" x14ac:dyDescent="0.3">
      <c r="A1674" s="18" t="s">
        <v>23</v>
      </c>
      <c r="B1674" s="25" t="s">
        <v>1675</v>
      </c>
      <c r="C1674" s="2" t="str">
        <f ca="1">IFERROR(__xludf.DUMMYFUNCTION("GOOGLETRANSLATE(B1674, ""bn"", ""en"")"),"The Satanic Temple is working to undermine the control that Christianity has established over American society through political influence.")</f>
        <v>The Satanic Temple is working to undermine the control that Christianity has established over American society through political influence.</v>
      </c>
      <c r="D1674" s="2"/>
      <c r="E1674" s="2"/>
      <c r="F1674" s="2"/>
      <c r="G1674" s="2"/>
      <c r="H1674" s="3"/>
      <c r="I1674" s="3"/>
      <c r="J1674" s="3"/>
      <c r="K1674" s="3"/>
      <c r="L1674" s="3"/>
      <c r="M1674" s="3"/>
      <c r="N1674" s="3"/>
      <c r="O1674" s="3"/>
      <c r="P1674" s="3"/>
      <c r="Q1674" s="3"/>
      <c r="R1674" s="3"/>
      <c r="S1674" s="3"/>
      <c r="T1674" s="3"/>
      <c r="U1674" s="3"/>
      <c r="V1674" s="3"/>
      <c r="W1674" s="3"/>
      <c r="X1674" s="3"/>
      <c r="Y1674" s="3"/>
      <c r="Z1674" s="3"/>
    </row>
    <row r="1675" spans="1:26" ht="15.6" x14ac:dyDescent="0.3">
      <c r="A1675" s="18" t="s">
        <v>3</v>
      </c>
      <c r="B1675" s="25" t="s">
        <v>1676</v>
      </c>
      <c r="C1675" s="2" t="str">
        <f ca="1">IFERROR(__xludf.DUMMYFUNCTION("GOOGLETRANSLATE(B1675, ""bn"", ""en"")"),"""Subhanallah, today I believe the scientific explanations knowingly or unknowingly, but why should I not believe the words of Allah?")</f>
        <v>"Subhanallah, today I believe the scientific explanations knowingly or unknowingly, but why should I not believe the words of Allah?</v>
      </c>
      <c r="D1675" s="2"/>
      <c r="E1675" s="2"/>
      <c r="F1675" s="2"/>
      <c r="G1675" s="2"/>
      <c r="H1675" s="3"/>
      <c r="I1675" s="3"/>
      <c r="J1675" s="3"/>
      <c r="K1675" s="3"/>
      <c r="L1675" s="3"/>
      <c r="M1675" s="3"/>
      <c r="N1675" s="3"/>
      <c r="O1675" s="3"/>
      <c r="P1675" s="3"/>
      <c r="Q1675" s="3"/>
      <c r="R1675" s="3"/>
      <c r="S1675" s="3"/>
      <c r="T1675" s="3"/>
      <c r="U1675" s="3"/>
      <c r="V1675" s="3"/>
      <c r="W1675" s="3"/>
      <c r="X1675" s="3"/>
      <c r="Y1675" s="3"/>
      <c r="Z1675" s="3"/>
    </row>
    <row r="1676" spans="1:26" ht="15.6" x14ac:dyDescent="0.3">
      <c r="A1676" s="18" t="s">
        <v>3</v>
      </c>
      <c r="B1676" s="25" t="s">
        <v>1677</v>
      </c>
      <c r="C1676" s="2" t="str">
        <f ca="1">IFERROR(__xludf.DUMMYFUNCTION("GOOGLETRANSLATE(B1676, ""bn"", ""en"")"),"The Portuguese settlers were the first Christians of Bengal, the indigenous Christians are their descendants. Later, with the spread of Christianity, the number of Christian people also increased.")</f>
        <v>The Portuguese settlers were the first Christians of Bengal, the indigenous Christians are their descendants. Later, with the spread of Christianity, the number of Christian people also increased.</v>
      </c>
      <c r="D1676" s="5"/>
      <c r="E1676" s="5"/>
      <c r="F1676" s="5"/>
      <c r="G1676" s="5"/>
      <c r="H1676" s="5"/>
      <c r="I1676" s="5"/>
      <c r="J1676" s="5"/>
      <c r="K1676" s="5"/>
      <c r="L1676" s="5"/>
      <c r="M1676" s="5"/>
      <c r="N1676" s="5"/>
      <c r="O1676" s="5"/>
      <c r="P1676" s="5"/>
      <c r="Q1676" s="5"/>
      <c r="R1676" s="5"/>
      <c r="S1676" s="5"/>
      <c r="T1676" s="5"/>
      <c r="U1676" s="5"/>
      <c r="V1676" s="5"/>
      <c r="W1676" s="5"/>
      <c r="X1676" s="5"/>
      <c r="Y1676" s="5"/>
      <c r="Z1676" s="5"/>
    </row>
    <row r="1677" spans="1:26" ht="15.6" x14ac:dyDescent="0.3">
      <c r="A1677" s="18" t="s">
        <v>23</v>
      </c>
      <c r="B1677" s="25" t="s">
        <v>1678</v>
      </c>
      <c r="C1677" s="2" t="str">
        <f ca="1">IFERROR(__xludf.DUMMYFUNCTION("GOOGLETRANSLATE(B1677, ""bn"", ""en"")"),"The series seeks to scare Hindus by portraying Muslims as a violent, divisive race, which is a clear conspiracy against Islam and Muslims.")</f>
        <v>The series seeks to scare Hindus by portraying Muslims as a violent, divisive race, which is a clear conspiracy against Islam and Muslims.</v>
      </c>
      <c r="D1677" s="5"/>
      <c r="E1677" s="5"/>
      <c r="F1677" s="5"/>
      <c r="G1677" s="5"/>
      <c r="H1677" s="5"/>
      <c r="I1677" s="5"/>
      <c r="J1677" s="5"/>
      <c r="K1677" s="5"/>
      <c r="L1677" s="5"/>
      <c r="M1677" s="5"/>
      <c r="N1677" s="5"/>
      <c r="O1677" s="5"/>
      <c r="P1677" s="5"/>
      <c r="Q1677" s="5"/>
      <c r="R1677" s="5"/>
      <c r="S1677" s="5"/>
      <c r="T1677" s="5"/>
      <c r="U1677" s="5"/>
      <c r="V1677" s="5"/>
      <c r="W1677" s="5"/>
      <c r="X1677" s="5"/>
      <c r="Y1677" s="5"/>
      <c r="Z1677" s="5"/>
    </row>
    <row r="1678" spans="1:26" ht="15.6" x14ac:dyDescent="0.3">
      <c r="A1678" s="18" t="s">
        <v>3</v>
      </c>
      <c r="B1678" s="25" t="s">
        <v>1679</v>
      </c>
      <c r="C1678" s="2" t="str">
        <f ca="1">IFERROR(__xludf.DUMMYFUNCTION("GOOGLETRANSLATE(B1678, ""bn"", ""en"")"),"The Kaaba is considered the holiest place according to the followers of Islam.[1] It is the qibla for Muslims, meaning the direction they face when they pray or pray.")</f>
        <v>The Kaaba is considered the holiest place according to the followers of Islam.[1] It is the qibla for Muslims, meaning the direction they face when they pray or pray.</v>
      </c>
      <c r="D1678" s="7"/>
      <c r="E1678" s="5"/>
      <c r="F1678" s="5"/>
      <c r="G1678" s="5"/>
      <c r="H1678" s="5"/>
      <c r="I1678" s="5"/>
      <c r="J1678" s="5"/>
      <c r="K1678" s="5"/>
      <c r="L1678" s="5"/>
      <c r="M1678" s="5"/>
      <c r="N1678" s="5"/>
      <c r="O1678" s="5"/>
      <c r="P1678" s="5"/>
      <c r="Q1678" s="5"/>
      <c r="R1678" s="5"/>
      <c r="S1678" s="5"/>
      <c r="T1678" s="5"/>
      <c r="U1678" s="5"/>
      <c r="V1678" s="5"/>
      <c r="W1678" s="5"/>
      <c r="X1678" s="5"/>
      <c r="Y1678" s="5"/>
      <c r="Z1678" s="5"/>
    </row>
    <row r="1679" spans="1:26" ht="15.6" x14ac:dyDescent="0.3">
      <c r="A1679" s="18" t="s">
        <v>23</v>
      </c>
      <c r="B1679" s="24" t="s">
        <v>1680</v>
      </c>
      <c r="C1679" s="2" t="str">
        <f ca="1">IFERROR(__xludf.DUMMYFUNCTION("GOOGLETRANSLATE(B1679, ""bn"", ""en"")"),"Some members of the Buddhist community are creating unrest and division in the society by spreading religious hatred.")</f>
        <v>Some members of the Buddhist community are creating unrest and division in the society by spreading religious hatred.</v>
      </c>
      <c r="D1679" s="5"/>
      <c r="E1679" s="5"/>
      <c r="F1679" s="5"/>
      <c r="G1679" s="5"/>
      <c r="H1679" s="5"/>
      <c r="I1679" s="5"/>
      <c r="J1679" s="5"/>
      <c r="K1679" s="5"/>
      <c r="L1679" s="5"/>
      <c r="M1679" s="5"/>
      <c r="N1679" s="5"/>
      <c r="O1679" s="5"/>
      <c r="P1679" s="5"/>
      <c r="Q1679" s="5"/>
      <c r="R1679" s="5"/>
      <c r="S1679" s="5"/>
      <c r="T1679" s="5"/>
      <c r="U1679" s="5"/>
      <c r="V1679" s="5"/>
      <c r="W1679" s="5"/>
      <c r="X1679" s="5"/>
      <c r="Y1679" s="5"/>
      <c r="Z1679" s="5"/>
    </row>
    <row r="1680" spans="1:26" ht="15.6" x14ac:dyDescent="0.3">
      <c r="A1680" s="18" t="s">
        <v>8</v>
      </c>
      <c r="B1680" s="25" t="s">
        <v>1681</v>
      </c>
      <c r="C1680" s="2" t="str">
        <f ca="1">IFERROR(__xludf.DUMMYFUNCTION("GOOGLETRANSLATE(B1680, ""bn"", ""en"")"),"Extremist groups are keen to spread violence based on religious sentiments, capitalize on public sentiments and seek to create instability through vandalism and attacks on temples.")</f>
        <v>Extremist groups are keen to spread violence based on religious sentiments, capitalize on public sentiments and seek to create instability through vandalism and attacks on temples.</v>
      </c>
      <c r="D1680" s="5"/>
      <c r="E1680" s="5"/>
      <c r="F1680" s="5"/>
      <c r="G1680" s="5"/>
      <c r="H1680" s="5"/>
      <c r="I1680" s="5"/>
      <c r="J1680" s="5"/>
      <c r="K1680" s="5"/>
      <c r="L1680" s="5"/>
      <c r="M1680" s="5"/>
      <c r="N1680" s="5"/>
      <c r="O1680" s="5"/>
      <c r="P1680" s="5"/>
      <c r="Q1680" s="5"/>
      <c r="R1680" s="5"/>
      <c r="S1680" s="5"/>
      <c r="T1680" s="5"/>
      <c r="U1680" s="5"/>
      <c r="V1680" s="5"/>
      <c r="W1680" s="5"/>
      <c r="X1680" s="5"/>
      <c r="Y1680" s="5"/>
      <c r="Z1680" s="5"/>
    </row>
    <row r="1681" spans="1:26" ht="15.6" x14ac:dyDescent="0.3">
      <c r="A1681" s="19" t="s">
        <v>8</v>
      </c>
      <c r="B1681" s="26" t="s">
        <v>1682</v>
      </c>
      <c r="C1681" s="2" t="str">
        <f ca="1">IFERROR(__xludf.DUMMYFUNCTION("GOOGLETRANSLATE(B1681, ""bn"", ""en"")"),"In Jhenaidah, a local fundamentalist group stopped the sound system by disrupting the religious ceremony.")</f>
        <v>In Jhenaidah, a local fundamentalist group stopped the sound system by disrupting the religious ceremony.</v>
      </c>
      <c r="D1681" s="5"/>
      <c r="E1681" s="5"/>
      <c r="F1681" s="5"/>
      <c r="G1681" s="5"/>
      <c r="H1681" s="5"/>
      <c r="I1681" s="5"/>
      <c r="J1681" s="5"/>
      <c r="K1681" s="5"/>
      <c r="L1681" s="5"/>
      <c r="M1681" s="5"/>
      <c r="N1681" s="5"/>
      <c r="O1681" s="5"/>
      <c r="P1681" s="5"/>
      <c r="Q1681" s="5"/>
      <c r="R1681" s="5"/>
      <c r="S1681" s="5"/>
      <c r="T1681" s="5"/>
      <c r="U1681" s="5"/>
      <c r="V1681" s="5"/>
      <c r="W1681" s="5"/>
      <c r="X1681" s="5"/>
      <c r="Y1681" s="5"/>
      <c r="Z1681" s="5"/>
    </row>
    <row r="1682" spans="1:26" ht="15.6" x14ac:dyDescent="0.3">
      <c r="A1682" s="18" t="s">
        <v>23</v>
      </c>
      <c r="B1682" s="25" t="s">
        <v>1683</v>
      </c>
      <c r="C1682" s="2" t="str">
        <f ca="1">IFERROR(__xludf.DUMMYFUNCTION("GOOGLETRANSLATE(B1682, ""bn"", ""en"")"),"It is not right that he should be punished who does not respect the religion of others, he does not respect his own religion, so he demands strong punishment.")</f>
        <v>It is not right that he should be punished who does not respect the religion of others, he does not respect his own religion, so he demands strong punishment.</v>
      </c>
      <c r="D1682" s="5"/>
      <c r="E1682" s="5"/>
      <c r="F1682" s="5"/>
      <c r="G1682" s="5"/>
      <c r="H1682" s="5"/>
      <c r="I1682" s="5"/>
      <c r="J1682" s="5"/>
      <c r="K1682" s="5"/>
      <c r="L1682" s="5"/>
      <c r="M1682" s="5"/>
      <c r="N1682" s="5"/>
      <c r="O1682" s="5"/>
      <c r="P1682" s="5"/>
      <c r="Q1682" s="5"/>
      <c r="R1682" s="5"/>
      <c r="S1682" s="5"/>
      <c r="T1682" s="5"/>
      <c r="U1682" s="5"/>
      <c r="V1682" s="5"/>
      <c r="W1682" s="5"/>
      <c r="X1682" s="5"/>
      <c r="Y1682" s="5"/>
      <c r="Z1682" s="5"/>
    </row>
    <row r="1683" spans="1:26" ht="15.6" x14ac:dyDescent="0.3">
      <c r="A1683" s="18" t="s">
        <v>8</v>
      </c>
      <c r="B1683" s="25" t="s">
        <v>1684</v>
      </c>
      <c r="C1683" s="2" t="str">
        <f ca="1">IFERROR(__xludf.DUMMYFUNCTION("GOOGLETRANSLATE(B1683, ""bn"", ""en"")"),"For those who do not live according to the Sunnah, it will be inevitable to bring back the days of burning mosques and bloodshed of Muslims in this country along with Allah's punishment in this country.")</f>
        <v>For those who do not live according to the Sunnah, it will be inevitable to bring back the days of burning mosques and bloodshed of Muslims in this country along with Allah's punishment in this country.</v>
      </c>
      <c r="D1683" s="5"/>
      <c r="E1683" s="5"/>
      <c r="F1683" s="5"/>
      <c r="G1683" s="5"/>
      <c r="H1683" s="5"/>
      <c r="I1683" s="5"/>
      <c r="J1683" s="5"/>
      <c r="K1683" s="5"/>
      <c r="L1683" s="5"/>
      <c r="M1683" s="5"/>
      <c r="N1683" s="5"/>
      <c r="O1683" s="5"/>
      <c r="P1683" s="5"/>
      <c r="Q1683" s="5"/>
      <c r="R1683" s="5"/>
      <c r="S1683" s="5"/>
      <c r="T1683" s="5"/>
      <c r="U1683" s="5"/>
      <c r="V1683" s="5"/>
      <c r="W1683" s="5"/>
      <c r="X1683" s="5"/>
      <c r="Y1683" s="5"/>
      <c r="Z1683" s="5"/>
    </row>
    <row r="1684" spans="1:26" ht="15.6" x14ac:dyDescent="0.3">
      <c r="A1684" s="18" t="s">
        <v>5</v>
      </c>
      <c r="B1684" s="25" t="s">
        <v>1685</v>
      </c>
      <c r="C1684" s="2" t="str">
        <f ca="1">IFERROR(__xludf.DUMMYFUNCTION("GOOGLETRANSLATE(B1684, ""bn"", ""en"")"),"The killings were motivated by religious hatred, with plans for suicide attacks and anti-Islamic rhetoric referencing the history of medieval crusades, evidence of a horrific religious atrocity.")</f>
        <v>The killings were motivated by religious hatred, with plans for suicide attacks and anti-Islamic rhetoric referencing the history of medieval crusades, evidence of a horrific religious atrocity.</v>
      </c>
      <c r="D1684" s="5"/>
      <c r="E1684" s="5"/>
      <c r="F1684" s="5"/>
      <c r="G1684" s="5"/>
      <c r="H1684" s="5"/>
      <c r="I1684" s="5"/>
      <c r="J1684" s="5"/>
      <c r="K1684" s="5"/>
      <c r="L1684" s="5"/>
      <c r="M1684" s="5"/>
      <c r="N1684" s="5"/>
      <c r="O1684" s="5"/>
      <c r="P1684" s="5"/>
      <c r="Q1684" s="5"/>
      <c r="R1684" s="5"/>
      <c r="S1684" s="5"/>
      <c r="T1684" s="5"/>
      <c r="U1684" s="5"/>
      <c r="V1684" s="5"/>
      <c r="W1684" s="5"/>
      <c r="X1684" s="5"/>
      <c r="Y1684" s="5"/>
      <c r="Z1684" s="5"/>
    </row>
    <row r="1685" spans="1:26" ht="15.6" x14ac:dyDescent="0.3">
      <c r="A1685" s="19" t="s">
        <v>23</v>
      </c>
      <c r="B1685" s="26" t="s">
        <v>1686</v>
      </c>
      <c r="C1685" s="2" t="str">
        <f ca="1">IFERROR(__xludf.DUMMYFUNCTION("GOOGLETRANSLATE(B1685, ""bn"", ""en"")"),"Boycotting and boycotting domestic products is a religious and moral duty for every person in Bangladesh, even though some people abuse us for it.")</f>
        <v>Boycotting and boycotting domestic products is a religious and moral duty for every person in Bangladesh, even though some people abuse us for it.</v>
      </c>
      <c r="D1685" s="7"/>
      <c r="E1685" s="7"/>
      <c r="F1685" s="7"/>
      <c r="G1685" s="7"/>
      <c r="H1685" s="7"/>
      <c r="I1685" s="7"/>
      <c r="J1685" s="5"/>
      <c r="K1685" s="5"/>
      <c r="L1685" s="5"/>
      <c r="M1685" s="5"/>
      <c r="N1685" s="5"/>
      <c r="O1685" s="5"/>
      <c r="P1685" s="5"/>
      <c r="Q1685" s="5"/>
      <c r="R1685" s="5"/>
      <c r="S1685" s="5"/>
      <c r="T1685" s="5"/>
      <c r="U1685" s="5"/>
      <c r="V1685" s="5"/>
      <c r="W1685" s="5"/>
      <c r="X1685" s="5"/>
      <c r="Y1685" s="5"/>
      <c r="Z1685" s="5"/>
    </row>
    <row r="1686" spans="1:26" ht="15.6" x14ac:dyDescent="0.3">
      <c r="A1686" s="19" t="s">
        <v>5</v>
      </c>
      <c r="B1686" s="26" t="s">
        <v>1687</v>
      </c>
      <c r="C1686" s="2" t="str">
        <f ca="1">IFERROR(__xludf.DUMMYFUNCTION("GOOGLETRANSLATE(B1686, ""bn"", ""en"")"),"In no time, 2,000 frenzied Muslims pounced on the unarmed Hindus with deadly weapons. 3 unfortunate Hindus were brutally killed and more than 12 others injured.")</f>
        <v>In no time, 2,000 frenzied Muslims pounced on the unarmed Hindus with deadly weapons. 3 unfortunate Hindus were brutally killed and more than 12 others injured.</v>
      </c>
      <c r="D1686" s="5"/>
      <c r="E1686" s="5"/>
      <c r="F1686" s="5"/>
      <c r="G1686" s="5"/>
      <c r="H1686" s="5"/>
      <c r="I1686" s="5"/>
      <c r="J1686" s="5"/>
      <c r="K1686" s="5"/>
      <c r="L1686" s="5"/>
      <c r="M1686" s="5"/>
      <c r="N1686" s="5"/>
      <c r="O1686" s="5"/>
      <c r="P1686" s="5"/>
      <c r="Q1686" s="5"/>
      <c r="R1686" s="5"/>
      <c r="S1686" s="5"/>
      <c r="T1686" s="5"/>
      <c r="U1686" s="5"/>
      <c r="V1686" s="5"/>
      <c r="W1686" s="5"/>
      <c r="X1686" s="5"/>
      <c r="Y1686" s="5"/>
      <c r="Z1686" s="5"/>
    </row>
    <row r="1687" spans="1:26" ht="15.6" x14ac:dyDescent="0.3">
      <c r="A1687" s="18" t="s">
        <v>3</v>
      </c>
      <c r="B1687" s="25" t="s">
        <v>1688</v>
      </c>
      <c r="C1687" s="2" t="str">
        <f ca="1">IFERROR(__xludf.DUMMYFUNCTION("GOOGLETRANSLATE(B1687, ""bn"", ""en"")"),"The statuses given by Tanjim Saqib are all right from the religious point of view. no mistake")</f>
        <v>The statuses given by Tanjim Saqib are all right from the religious point of view. no mistake</v>
      </c>
      <c r="D1687" s="2"/>
      <c r="E1687" s="2"/>
      <c r="F1687" s="2"/>
      <c r="G1687" s="2"/>
      <c r="H1687" s="5"/>
      <c r="I1687" s="5"/>
      <c r="J1687" s="5"/>
      <c r="K1687" s="5"/>
      <c r="L1687" s="5"/>
      <c r="M1687" s="5"/>
      <c r="N1687" s="5"/>
      <c r="O1687" s="5"/>
      <c r="P1687" s="5"/>
      <c r="Q1687" s="5"/>
      <c r="R1687" s="5"/>
      <c r="S1687" s="5"/>
      <c r="T1687" s="5"/>
      <c r="U1687" s="5"/>
      <c r="V1687" s="5"/>
      <c r="W1687" s="5"/>
      <c r="X1687" s="5"/>
      <c r="Y1687" s="5"/>
      <c r="Z1687" s="5"/>
    </row>
    <row r="1688" spans="1:26" ht="15.6" x14ac:dyDescent="0.3">
      <c r="A1688" s="19" t="s">
        <v>3</v>
      </c>
      <c r="B1688" s="26" t="s">
        <v>1689</v>
      </c>
      <c r="C1688" s="2" t="str">
        <f ca="1">IFERROR(__xludf.DUMMYFUNCTION("GOOGLETRANSLATE(B1688, ""bn"", ""en"")"),"Most Hindu communities, especially in the northern regions, bury children under the age of two.")</f>
        <v>Most Hindu communities, especially in the northern regions, bury children under the age of two.</v>
      </c>
      <c r="D1688" s="7"/>
      <c r="E1688" s="7"/>
      <c r="F1688" s="7"/>
      <c r="G1688" s="5"/>
      <c r="H1688" s="5"/>
      <c r="I1688" s="5"/>
      <c r="J1688" s="5"/>
      <c r="K1688" s="5"/>
      <c r="L1688" s="5"/>
      <c r="M1688" s="5"/>
      <c r="N1688" s="5"/>
      <c r="O1688" s="5"/>
      <c r="P1688" s="5"/>
      <c r="Q1688" s="5"/>
      <c r="R1688" s="5"/>
      <c r="S1688" s="5"/>
      <c r="T1688" s="5"/>
      <c r="U1688" s="5"/>
      <c r="V1688" s="5"/>
      <c r="W1688" s="5"/>
      <c r="X1688" s="5"/>
      <c r="Y1688" s="5"/>
      <c r="Z1688" s="5"/>
    </row>
    <row r="1689" spans="1:26" ht="15.6" x14ac:dyDescent="0.3">
      <c r="A1689" s="19" t="s">
        <v>8</v>
      </c>
      <c r="B1689" s="26" t="s">
        <v>1690</v>
      </c>
      <c r="C1689" s="2" t="str">
        <f ca="1">IFERROR(__xludf.DUMMYFUNCTION("GOOGLETRANSLATE(B1689, ""bn"", ""en"")"),"Insult to religion is an absolute loss to our humanity. I have seen humiliation, confusion and existential crisis in society in the name of religion.")</f>
        <v>Insult to religion is an absolute loss to our humanity. I have seen humiliation, confusion and existential crisis in society in the name of religion.</v>
      </c>
      <c r="D1689" s="5"/>
      <c r="E1689" s="5"/>
      <c r="F1689" s="5"/>
      <c r="G1689" s="5"/>
      <c r="H1689" s="5"/>
      <c r="I1689" s="5"/>
      <c r="J1689" s="5"/>
      <c r="K1689" s="5"/>
      <c r="L1689" s="5"/>
      <c r="M1689" s="5"/>
      <c r="N1689" s="5"/>
      <c r="O1689" s="5"/>
      <c r="P1689" s="5"/>
      <c r="Q1689" s="5"/>
      <c r="R1689" s="5"/>
      <c r="S1689" s="5"/>
      <c r="T1689" s="5"/>
      <c r="U1689" s="5"/>
      <c r="V1689" s="5"/>
      <c r="W1689" s="5"/>
      <c r="X1689" s="5"/>
      <c r="Y1689" s="5"/>
      <c r="Z1689" s="5"/>
    </row>
    <row r="1690" spans="1:26" ht="15.6" x14ac:dyDescent="0.3">
      <c r="A1690" s="18" t="s">
        <v>3</v>
      </c>
      <c r="B1690" s="25" t="s">
        <v>1691</v>
      </c>
      <c r="C1690" s="2" t="str">
        <f ca="1">IFERROR(__xludf.DUMMYFUNCTION("GOOGLETRANSLATE(B1690, ""bn"", ""en"")"),"It is only my responsibility to reach out from Allah and spread His message. For those who disobey Allah and His Messenger are the Fires of Hell, where they will abide forever.")</f>
        <v>It is only my responsibility to reach out from Allah and spread His message. For those who disobey Allah and His Messenger are the Fires of Hell, where they will abide forever.</v>
      </c>
      <c r="D1690" s="5"/>
      <c r="E1690" s="5"/>
      <c r="F1690" s="5"/>
      <c r="G1690" s="5"/>
      <c r="H1690" s="5"/>
      <c r="I1690" s="5"/>
      <c r="J1690" s="5"/>
      <c r="K1690" s="5"/>
      <c r="L1690" s="5"/>
      <c r="M1690" s="5"/>
      <c r="N1690" s="5"/>
      <c r="O1690" s="5"/>
      <c r="P1690" s="5"/>
      <c r="Q1690" s="5"/>
      <c r="R1690" s="5"/>
      <c r="S1690" s="5"/>
      <c r="T1690" s="5"/>
      <c r="U1690" s="5"/>
      <c r="V1690" s="5"/>
      <c r="W1690" s="5"/>
      <c r="X1690" s="5"/>
      <c r="Y1690" s="5"/>
      <c r="Z1690" s="5"/>
    </row>
    <row r="1691" spans="1:26" ht="15.6" x14ac:dyDescent="0.3">
      <c r="A1691" s="18" t="s">
        <v>23</v>
      </c>
      <c r="B1691" s="25" t="s">
        <v>1692</v>
      </c>
      <c r="C1691" s="2" t="str">
        <f ca="1">IFERROR(__xludf.DUMMYFUNCTION("GOOGLETRANSLATE(B1691, ""bn"", ""en"")"),"When the Islamist organizations are protesting about the speech of the mayor of Mistripara about Islam, some groups are trying to create a different atmosphere by spreading rumours.")</f>
        <v>When the Islamist organizations are protesting about the speech of the mayor of Mistripara about Islam, some groups are trying to create a different atmosphere by spreading rumours.</v>
      </c>
      <c r="D1691" s="2"/>
      <c r="E1691" s="2"/>
      <c r="F1691" s="2"/>
      <c r="G1691" s="2"/>
      <c r="H1691" s="3"/>
      <c r="I1691" s="3"/>
      <c r="J1691" s="3"/>
      <c r="K1691" s="3"/>
      <c r="L1691" s="3"/>
      <c r="M1691" s="3"/>
      <c r="N1691" s="3"/>
      <c r="O1691" s="3"/>
      <c r="P1691" s="3"/>
      <c r="Q1691" s="3"/>
      <c r="R1691" s="3"/>
      <c r="S1691" s="3"/>
      <c r="T1691" s="3"/>
      <c r="U1691" s="3"/>
      <c r="V1691" s="3"/>
      <c r="W1691" s="3"/>
      <c r="X1691" s="3"/>
      <c r="Y1691" s="3"/>
      <c r="Z1691" s="3"/>
    </row>
    <row r="1692" spans="1:26" ht="15.6" x14ac:dyDescent="0.3">
      <c r="A1692" s="18" t="s">
        <v>8</v>
      </c>
      <c r="B1692" s="25" t="s">
        <v>1693</v>
      </c>
      <c r="C1692" s="2" t="str">
        <f ca="1">IFERROR(__xludf.DUMMYFUNCTION("GOOGLETRANSLATE(B1692, ""bn"", ""en"")"),"On March 24, 2005, religious items from a makeshift Hindu temple found in an apartment in Bashundhara were destroyed. Violators face punishments like imprisonment and whipping.")</f>
        <v>On March 24, 2005, religious items from a makeshift Hindu temple found in an apartment in Bashundhara were destroyed. Violators face punishments like imprisonment and whipping.</v>
      </c>
      <c r="D1692" s="2"/>
      <c r="E1692" s="2"/>
      <c r="F1692" s="2"/>
      <c r="G1692" s="2"/>
      <c r="H1692" s="3"/>
      <c r="I1692" s="3"/>
      <c r="J1692" s="3"/>
      <c r="K1692" s="3"/>
      <c r="L1692" s="3"/>
      <c r="M1692" s="3"/>
      <c r="N1692" s="3"/>
      <c r="O1692" s="3"/>
      <c r="P1692" s="3"/>
      <c r="Q1692" s="3"/>
      <c r="R1692" s="3"/>
      <c r="S1692" s="3"/>
      <c r="T1692" s="3"/>
      <c r="U1692" s="3"/>
      <c r="V1692" s="3"/>
      <c r="W1692" s="3"/>
      <c r="X1692" s="3"/>
      <c r="Y1692" s="3"/>
      <c r="Z1692" s="3"/>
    </row>
    <row r="1693" spans="1:26" ht="15.6" x14ac:dyDescent="0.3">
      <c r="A1693" s="19" t="s">
        <v>8</v>
      </c>
      <c r="B1693" s="26" t="s">
        <v>1694</v>
      </c>
      <c r="C1693" s="2" t="str">
        <f ca="1">IFERROR(__xludf.DUMMYFUNCTION("GOOGLETRANSLATE(B1693, ""bn"", ""en"")"),"A group of miscreants left obscene letters at a mosque in Kishoreganj, worshipers reacted angrily.")</f>
        <v>A group of miscreants left obscene letters at a mosque in Kishoreganj, worshipers reacted angrily.</v>
      </c>
      <c r="D1693" s="5"/>
      <c r="E1693" s="5"/>
      <c r="F1693" s="5"/>
      <c r="G1693" s="5"/>
      <c r="H1693" s="5"/>
      <c r="I1693" s="5"/>
      <c r="J1693" s="5"/>
      <c r="K1693" s="5"/>
      <c r="L1693" s="5"/>
      <c r="M1693" s="5"/>
      <c r="N1693" s="5"/>
      <c r="O1693" s="5"/>
      <c r="P1693" s="5"/>
      <c r="Q1693" s="5"/>
      <c r="R1693" s="5"/>
      <c r="S1693" s="5"/>
      <c r="T1693" s="5"/>
      <c r="U1693" s="5"/>
      <c r="V1693" s="5"/>
      <c r="W1693" s="5"/>
      <c r="X1693" s="5"/>
      <c r="Y1693" s="5"/>
      <c r="Z1693" s="5"/>
    </row>
    <row r="1694" spans="1:26" ht="15.6" x14ac:dyDescent="0.3">
      <c r="A1694" s="18" t="s">
        <v>23</v>
      </c>
      <c r="B1694" s="25" t="s">
        <v>1695</v>
      </c>
      <c r="C1694" s="2" t="str">
        <f ca="1">IFERROR(__xludf.DUMMYFUNCTION("GOOGLETRANSLATE(B1694, ""bn"", ""en"")"),"In order to escape from religious brutality, the new generation of the Muslim world should be made not only Maulana, Mufti, Speaker, Hafez, Pir, but also nuclear scientists, doctors, engineers, literature-culture and information technology experts.")</f>
        <v>In order to escape from religious brutality, the new generation of the Muslim world should be made not only Maulana, Mufti, Speaker, Hafez, Pir, but also nuclear scientists, doctors, engineers, literature-culture and information technology experts.</v>
      </c>
      <c r="D1694" s="6"/>
      <c r="E1694" s="6"/>
      <c r="F1694" s="6"/>
      <c r="G1694" s="6"/>
      <c r="H1694" s="5"/>
      <c r="I1694" s="5"/>
      <c r="J1694" s="5"/>
      <c r="K1694" s="5"/>
      <c r="L1694" s="5"/>
      <c r="M1694" s="5"/>
      <c r="N1694" s="5"/>
      <c r="O1694" s="5"/>
      <c r="P1694" s="5"/>
      <c r="Q1694" s="5"/>
      <c r="R1694" s="5"/>
      <c r="S1694" s="5"/>
      <c r="T1694" s="5"/>
      <c r="U1694" s="5"/>
      <c r="V1694" s="5"/>
      <c r="W1694" s="5"/>
      <c r="X1694" s="5"/>
      <c r="Y1694" s="5"/>
      <c r="Z1694" s="5"/>
    </row>
    <row r="1695" spans="1:26" ht="15.6" x14ac:dyDescent="0.3">
      <c r="A1695" s="18" t="s">
        <v>3</v>
      </c>
      <c r="B1695" s="25" t="s">
        <v>1696</v>
      </c>
      <c r="C1695" s="2" t="str">
        <f ca="1">IFERROR(__xludf.DUMMYFUNCTION("GOOGLETRANSLATE(B1695, ""bn"", ""en"")"),"Religion teaches man to realize the futility of the world, which helps him attain peace and comfort in the thought of the afterlife and encourages him to lead a normal life.")</f>
        <v>Religion teaches man to realize the futility of the world, which helps him attain peace and comfort in the thought of the afterlife and encourages him to lead a normal life.</v>
      </c>
      <c r="D1695" s="5"/>
      <c r="E1695" s="5"/>
      <c r="F1695" s="5"/>
      <c r="G1695" s="5"/>
      <c r="H1695" s="5"/>
      <c r="I1695" s="5"/>
      <c r="J1695" s="5"/>
      <c r="K1695" s="5"/>
      <c r="L1695" s="5"/>
      <c r="M1695" s="5"/>
      <c r="N1695" s="5"/>
      <c r="O1695" s="5"/>
      <c r="P1695" s="5"/>
      <c r="Q1695" s="5"/>
      <c r="R1695" s="5"/>
      <c r="S1695" s="5"/>
      <c r="T1695" s="5"/>
      <c r="U1695" s="5"/>
      <c r="V1695" s="5"/>
      <c r="W1695" s="5"/>
      <c r="X1695" s="5"/>
      <c r="Y1695" s="5"/>
      <c r="Z1695" s="5"/>
    </row>
    <row r="1696" spans="1:26" ht="15.6" x14ac:dyDescent="0.3">
      <c r="A1696" s="18" t="s">
        <v>3</v>
      </c>
      <c r="B1696" s="25" t="s">
        <v>1697</v>
      </c>
      <c r="C1696" s="2" t="str">
        <f ca="1">IFERROR(__xludf.DUMMYFUNCTION("GOOGLETRANSLATE(B1696, ""bn"", ""en"")"),"Honest and faithful people will be able to answer their questions correctly, and by the grace of Allah, they will have a life of peace and success.")</f>
        <v>Honest and faithful people will be able to answer their questions correctly, and by the grace of Allah, they will have a life of peace and success.</v>
      </c>
      <c r="D1696" s="2"/>
      <c r="E1696" s="2"/>
      <c r="F1696" s="2"/>
      <c r="G1696" s="2"/>
      <c r="H1696" s="5"/>
      <c r="I1696" s="5"/>
      <c r="J1696" s="5"/>
      <c r="K1696" s="5"/>
      <c r="L1696" s="5"/>
      <c r="M1696" s="5"/>
      <c r="N1696" s="5"/>
      <c r="O1696" s="5"/>
      <c r="P1696" s="5"/>
      <c r="Q1696" s="5"/>
      <c r="R1696" s="5"/>
      <c r="S1696" s="5"/>
      <c r="T1696" s="5"/>
      <c r="U1696" s="5"/>
      <c r="V1696" s="5"/>
      <c r="W1696" s="5"/>
      <c r="X1696" s="5"/>
      <c r="Y1696" s="5"/>
      <c r="Z1696" s="5"/>
    </row>
    <row r="1697" spans="1:26" ht="15.6" x14ac:dyDescent="0.3">
      <c r="A1697" s="19" t="s">
        <v>3</v>
      </c>
      <c r="B1697" s="26" t="s">
        <v>1698</v>
      </c>
      <c r="C1697" s="2" t="str">
        <f ca="1">IFERROR(__xludf.DUMMYFUNCTION("GOOGLETRANSLATE(B1697, ""bn"", ""en"")"),"Janaza is the funeral prayer, which is an obligatory religious duty of Muslim society.")</f>
        <v>Janaza is the funeral prayer, which is an obligatory religious duty of Muslim society.</v>
      </c>
      <c r="D1697" s="7"/>
      <c r="E1697" s="5"/>
      <c r="F1697" s="5"/>
      <c r="G1697" s="5"/>
      <c r="H1697" s="5"/>
      <c r="I1697" s="5"/>
      <c r="J1697" s="5"/>
      <c r="K1697" s="5"/>
      <c r="L1697" s="5"/>
      <c r="M1697" s="5"/>
      <c r="N1697" s="5"/>
      <c r="O1697" s="5"/>
      <c r="P1697" s="5"/>
      <c r="Q1697" s="5"/>
      <c r="R1697" s="5"/>
      <c r="S1697" s="5"/>
      <c r="T1697" s="5"/>
      <c r="U1697" s="5"/>
      <c r="V1697" s="5"/>
      <c r="W1697" s="5"/>
      <c r="X1697" s="5"/>
      <c r="Y1697" s="5"/>
      <c r="Z1697" s="5"/>
    </row>
    <row r="1698" spans="1:26" ht="15.6" x14ac:dyDescent="0.3">
      <c r="A1698" s="18" t="s">
        <v>5</v>
      </c>
      <c r="B1698" s="24" t="s">
        <v>1699</v>
      </c>
      <c r="C1698" s="2" t="str">
        <f ca="1">IFERROR(__xludf.DUMMYFUNCTION("GOOGLETRANSLATE(B1698, ""bn"", ""en"")"),"A group attacked a religious fair, killing 28 people.")</f>
        <v>A group attacked a religious fair, killing 28 people.</v>
      </c>
      <c r="D1698" s="5"/>
      <c r="E1698" s="5"/>
      <c r="F1698" s="5"/>
      <c r="G1698" s="5"/>
      <c r="H1698" s="5"/>
      <c r="I1698" s="5"/>
      <c r="J1698" s="5"/>
      <c r="K1698" s="5"/>
      <c r="L1698" s="5"/>
      <c r="M1698" s="5"/>
      <c r="N1698" s="5"/>
      <c r="O1698" s="5"/>
      <c r="P1698" s="5"/>
      <c r="Q1698" s="5"/>
      <c r="R1698" s="5"/>
      <c r="S1698" s="5"/>
      <c r="T1698" s="5"/>
      <c r="U1698" s="5"/>
      <c r="V1698" s="5"/>
      <c r="W1698" s="5"/>
      <c r="X1698" s="5"/>
      <c r="Y1698" s="5"/>
      <c r="Z1698" s="5"/>
    </row>
    <row r="1699" spans="1:26" ht="15.6" x14ac:dyDescent="0.3">
      <c r="A1699" s="18" t="s">
        <v>23</v>
      </c>
      <c r="B1699" s="25" t="s">
        <v>1700</v>
      </c>
      <c r="C1699" s="2" t="str">
        <f ca="1">IFERROR(__xludf.DUMMYFUNCTION("GOOGLETRANSLATE(B1699, ""bn"", ""en"")"),"Chaitanya with his followers attacked the Kazi's house and said destroy all Muslims.")</f>
        <v>Chaitanya with his followers attacked the Kazi's house and said destroy all Muslims.</v>
      </c>
      <c r="D1699" s="2"/>
      <c r="E1699" s="2"/>
      <c r="F1699" s="2"/>
      <c r="G1699" s="2"/>
      <c r="H1699" s="5"/>
      <c r="I1699" s="5"/>
      <c r="J1699" s="5"/>
      <c r="K1699" s="5"/>
      <c r="L1699" s="5"/>
      <c r="M1699" s="5"/>
      <c r="N1699" s="5"/>
      <c r="O1699" s="5"/>
      <c r="P1699" s="5"/>
      <c r="Q1699" s="5"/>
      <c r="R1699" s="5"/>
      <c r="S1699" s="5"/>
      <c r="T1699" s="5"/>
      <c r="U1699" s="5"/>
      <c r="V1699" s="5"/>
      <c r="W1699" s="5"/>
      <c r="X1699" s="5"/>
      <c r="Y1699" s="5"/>
      <c r="Z1699" s="5"/>
    </row>
    <row r="1700" spans="1:26" ht="15.6" x14ac:dyDescent="0.3">
      <c r="A1700" s="18" t="s">
        <v>8</v>
      </c>
      <c r="B1700" s="25" t="s">
        <v>1701</v>
      </c>
      <c r="C1700" s="2" t="str">
        <f ca="1">IFERROR(__xludf.DUMMYFUNCTION("GOOGLETRANSLATE(B1700, ""bn"", ""en"")"),"A group of people attacked the West Kaludanga Durga temple in Brahmanpara at 10:30 p.m., vandalized and set fire to the idol in a gruesome example of religious violence.")</f>
        <v>A group of people attacked the West Kaludanga Durga temple in Brahmanpara at 10:30 p.m., vandalized and set fire to the idol in a gruesome example of religious violence.</v>
      </c>
      <c r="D1700" s="5"/>
      <c r="E1700" s="5"/>
      <c r="F1700" s="5"/>
      <c r="G1700" s="5"/>
      <c r="H1700" s="5"/>
      <c r="I1700" s="5"/>
      <c r="J1700" s="5"/>
      <c r="K1700" s="5"/>
      <c r="L1700" s="5"/>
      <c r="M1700" s="5"/>
      <c r="N1700" s="5"/>
      <c r="O1700" s="5"/>
      <c r="P1700" s="5"/>
      <c r="Q1700" s="5"/>
      <c r="R1700" s="5"/>
      <c r="S1700" s="5"/>
      <c r="T1700" s="5"/>
      <c r="U1700" s="5"/>
      <c r="V1700" s="5"/>
      <c r="W1700" s="5"/>
      <c r="X1700" s="5"/>
      <c r="Y1700" s="5"/>
      <c r="Z1700" s="5"/>
    </row>
    <row r="1701" spans="1:26" ht="15.6" x14ac:dyDescent="0.3">
      <c r="A1701" s="18" t="s">
        <v>5</v>
      </c>
      <c r="B1701" s="24" t="s">
        <v>1702</v>
      </c>
      <c r="C1701" s="2" t="str">
        <f ca="1">IFERROR(__xludf.DUMMYFUNCTION("GOOGLETRANSLATE(B1701, ""bn"", ""en"")"),"In January 2016, a gas explosion in a mosque killed 35 people, causing panic in the local area.")</f>
        <v>In January 2016, a gas explosion in a mosque killed 35 people, causing panic in the local area.</v>
      </c>
      <c r="D1701" s="5"/>
      <c r="E1701" s="5"/>
      <c r="F1701" s="5"/>
      <c r="G1701" s="5"/>
      <c r="H1701" s="5"/>
      <c r="I1701" s="5"/>
      <c r="J1701" s="5"/>
      <c r="K1701" s="5"/>
      <c r="L1701" s="5"/>
      <c r="M1701" s="5"/>
      <c r="N1701" s="5"/>
      <c r="O1701" s="5"/>
      <c r="P1701" s="5"/>
      <c r="Q1701" s="5"/>
      <c r="R1701" s="5"/>
      <c r="S1701" s="5"/>
      <c r="T1701" s="5"/>
      <c r="U1701" s="5"/>
      <c r="V1701" s="5"/>
      <c r="W1701" s="5"/>
      <c r="X1701" s="5"/>
      <c r="Y1701" s="5"/>
      <c r="Z1701" s="5"/>
    </row>
    <row r="1702" spans="1:26" ht="15.6" x14ac:dyDescent="0.3">
      <c r="A1702" s="18" t="s">
        <v>23</v>
      </c>
      <c r="B1702" s="25" t="s">
        <v>1703</v>
      </c>
      <c r="C1702" s="2" t="str">
        <f ca="1">IFERROR(__xludf.DUMMYFUNCTION("GOOGLETRANSLATE(B1702, ""bn"", ""en"")"),"O Allah, help us, we are weak owners. Islam is being played in this country. We cannot do anything. Look at those who insult the Quran.")</f>
        <v>O Allah, help us, we are weak owners. Islam is being played in this country. We cannot do anything. Look at those who insult the Quran.</v>
      </c>
      <c r="D1702" s="2"/>
      <c r="E1702" s="2"/>
      <c r="F1702" s="2"/>
      <c r="G1702" s="2"/>
      <c r="H1702" s="5"/>
      <c r="I1702" s="5"/>
      <c r="J1702" s="5"/>
      <c r="K1702" s="5"/>
      <c r="L1702" s="5"/>
      <c r="M1702" s="5"/>
      <c r="N1702" s="5"/>
      <c r="O1702" s="5"/>
      <c r="P1702" s="5"/>
      <c r="Q1702" s="5"/>
      <c r="R1702" s="5"/>
      <c r="S1702" s="5"/>
      <c r="T1702" s="5"/>
      <c r="U1702" s="5"/>
      <c r="V1702" s="5"/>
      <c r="W1702" s="5"/>
      <c r="X1702" s="5"/>
      <c r="Y1702" s="5"/>
      <c r="Z1702" s="5"/>
    </row>
    <row r="1703" spans="1:26" ht="15.6" x14ac:dyDescent="0.3">
      <c r="A1703" s="19" t="s">
        <v>3</v>
      </c>
      <c r="B1703" s="26" t="s">
        <v>1704</v>
      </c>
      <c r="C1703" s="2" t="str">
        <f ca="1">IFERROR(__xludf.DUMMYFUNCTION("GOOGLETRANSLATE(B1703, ""bn"", ""en"")"),"The religion was introduced by Guru Nanak in 1506-07 and his followers continued to preach the religion. The Sikh community was formed by adopting some Bengali religions.")</f>
        <v>The religion was introduced by Guru Nanak in 1506-07 and his followers continued to preach the religion. The Sikh community was formed by adopting some Bengali religions.</v>
      </c>
      <c r="D1703" s="7"/>
      <c r="E1703" s="7"/>
      <c r="F1703" s="7"/>
      <c r="G1703" s="7"/>
      <c r="H1703" s="7"/>
      <c r="I1703" s="7"/>
      <c r="J1703" s="7"/>
      <c r="K1703" s="7"/>
      <c r="L1703" s="5"/>
      <c r="M1703" s="5"/>
      <c r="N1703" s="5"/>
      <c r="O1703" s="5"/>
      <c r="P1703" s="5"/>
      <c r="Q1703" s="5"/>
      <c r="R1703" s="5"/>
      <c r="S1703" s="5"/>
      <c r="T1703" s="5"/>
      <c r="U1703" s="5"/>
      <c r="V1703" s="5"/>
      <c r="W1703" s="5"/>
      <c r="X1703" s="5"/>
      <c r="Y1703" s="5"/>
      <c r="Z1703" s="5"/>
    </row>
    <row r="1704" spans="1:26" ht="15.6" x14ac:dyDescent="0.3">
      <c r="A1704" s="18" t="s">
        <v>3</v>
      </c>
      <c r="B1704" s="25" t="s">
        <v>1705</v>
      </c>
      <c r="C1704" s="2" t="str">
        <f ca="1">IFERROR(__xludf.DUMMYFUNCTION("GOOGLETRANSLATE(B1704, ""bn"", ""en"")"),"Man can never be god no matter how powerful a man is in this world. If he does not match with God, then he is not God, God is above all.")</f>
        <v>Man can never be god no matter how powerful a man is in this world. If he does not match with God, then he is not God, God is above all.</v>
      </c>
      <c r="D1704" s="5"/>
      <c r="E1704" s="5"/>
      <c r="F1704" s="5"/>
      <c r="G1704" s="5"/>
      <c r="H1704" s="5"/>
      <c r="I1704" s="5"/>
      <c r="J1704" s="5"/>
      <c r="K1704" s="5"/>
      <c r="L1704" s="5"/>
      <c r="M1704" s="5"/>
      <c r="N1704" s="5"/>
      <c r="O1704" s="5"/>
      <c r="P1704" s="5"/>
      <c r="Q1704" s="5"/>
      <c r="R1704" s="5"/>
      <c r="S1704" s="5"/>
      <c r="T1704" s="5"/>
      <c r="U1704" s="5"/>
      <c r="V1704" s="5"/>
      <c r="W1704" s="5"/>
      <c r="X1704" s="5"/>
      <c r="Y1704" s="5"/>
      <c r="Z1704" s="5"/>
    </row>
    <row r="1705" spans="1:26" ht="15.6" x14ac:dyDescent="0.3">
      <c r="A1705" s="19" t="s">
        <v>5</v>
      </c>
      <c r="B1705" s="26" t="s">
        <v>1706</v>
      </c>
      <c r="C1705" s="2" t="str">
        <f ca="1">IFERROR(__xludf.DUMMYFUNCTION("GOOGLETRANSLATE(B1705, ""bn"", ""en"")"),"The debate surrounding the killings is still ongoing regarding the responsibility and leadership roles of the Hindu and Muslim communities.")</f>
        <v>The debate surrounding the killings is still ongoing regarding the responsibility and leadership roles of the Hindu and Muslim communities.</v>
      </c>
      <c r="D1705" s="7"/>
      <c r="E1705" s="7"/>
      <c r="F1705" s="5"/>
      <c r="G1705" s="5"/>
      <c r="H1705" s="5"/>
      <c r="I1705" s="5"/>
      <c r="J1705" s="5"/>
      <c r="K1705" s="5"/>
      <c r="L1705" s="5"/>
      <c r="M1705" s="5"/>
      <c r="N1705" s="5"/>
      <c r="O1705" s="5"/>
      <c r="P1705" s="5"/>
      <c r="Q1705" s="5"/>
      <c r="R1705" s="5"/>
      <c r="S1705" s="5"/>
      <c r="T1705" s="5"/>
      <c r="U1705" s="5"/>
      <c r="V1705" s="5"/>
      <c r="W1705" s="5"/>
      <c r="X1705" s="5"/>
      <c r="Y1705" s="5"/>
      <c r="Z1705" s="5"/>
    </row>
    <row r="1706" spans="1:26" ht="15.6" x14ac:dyDescent="0.3">
      <c r="A1706" s="18" t="s">
        <v>5</v>
      </c>
      <c r="B1706" s="25" t="s">
        <v>1707</v>
      </c>
      <c r="C1706" s="2" t="str">
        <f ca="1">IFERROR(__xludf.DUMMYFUNCTION("GOOGLETRANSLATE(B1706, ""bn"", ""en"")"),"Innocent Hindus were burnt to death by burning houses with petrol kerosene just because they called themselves Hindus. Where has humanity gone!")</f>
        <v>Innocent Hindus were burnt to death by burning houses with petrol kerosene just because they called themselves Hindus. Where has humanity gone!</v>
      </c>
      <c r="D1706" s="5"/>
      <c r="E1706" s="5"/>
      <c r="F1706" s="5"/>
      <c r="G1706" s="5"/>
      <c r="H1706" s="5"/>
      <c r="I1706" s="5"/>
      <c r="J1706" s="5"/>
      <c r="K1706" s="5"/>
      <c r="L1706" s="5"/>
      <c r="M1706" s="5"/>
      <c r="N1706" s="5"/>
      <c r="O1706" s="5"/>
      <c r="P1706" s="5"/>
      <c r="Q1706" s="5"/>
      <c r="R1706" s="5"/>
      <c r="S1706" s="5"/>
      <c r="T1706" s="5"/>
      <c r="U1706" s="5"/>
      <c r="V1706" s="5"/>
      <c r="W1706" s="5"/>
      <c r="X1706" s="5"/>
      <c r="Y1706" s="5"/>
      <c r="Z1706" s="5"/>
    </row>
    <row r="1707" spans="1:26" ht="15.6" x14ac:dyDescent="0.3">
      <c r="A1707" s="18" t="s">
        <v>5</v>
      </c>
      <c r="B1707" s="25" t="s">
        <v>1708</v>
      </c>
      <c r="C1707" s="2" t="str">
        <f ca="1">IFERROR(__xludf.DUMMYFUNCTION("GOOGLETRANSLATE(B1707, ""bn"", ""en"")"),"On June 17, scores of people were killed in Hindu-Muslim clashes, a serious threat to the country's communal harmony.")</f>
        <v>On June 17, scores of people were killed in Hindu-Muslim clashes, a serious threat to the country's communal harmony.</v>
      </c>
      <c r="D1707" s="2"/>
      <c r="E1707" s="2"/>
      <c r="F1707" s="2"/>
      <c r="G1707" s="2"/>
      <c r="H1707" s="5"/>
      <c r="I1707" s="5"/>
      <c r="J1707" s="5"/>
      <c r="K1707" s="5"/>
      <c r="L1707" s="5"/>
      <c r="M1707" s="5"/>
      <c r="N1707" s="5"/>
      <c r="O1707" s="5"/>
      <c r="P1707" s="5"/>
      <c r="Q1707" s="5"/>
      <c r="R1707" s="5"/>
      <c r="S1707" s="5"/>
      <c r="T1707" s="5"/>
      <c r="U1707" s="5"/>
      <c r="V1707" s="5"/>
      <c r="W1707" s="5"/>
      <c r="X1707" s="5"/>
      <c r="Y1707" s="5"/>
      <c r="Z1707" s="5"/>
    </row>
    <row r="1708" spans="1:26" ht="15.6" x14ac:dyDescent="0.3">
      <c r="A1708" s="18" t="s">
        <v>23</v>
      </c>
      <c r="B1708" s="25" t="s">
        <v>1709</v>
      </c>
      <c r="C1708" s="2" t="str">
        <f ca="1">IFERROR(__xludf.DUMMYFUNCTION("GOOGLETRANSLATE(B1708, ""bn"", ""en"")"),"How religion was used in the liberation war to divide the Bengali nation. I remembered how the seeds of communalism were planted in the brains of the people of this country after independence and efforts were made to create division among people. I realiz"&amp;"ed that the current fragmented form was actually created from that seed. Slowly which is taking the form of banyan tree.")</f>
        <v>How religion was used in the liberation war to divide the Bengali nation. I remembered how the seeds of communalism were planted in the brains of the people of this country after independence and efforts were made to create division among people. I realized that the current fragmented form was actually created from that seed. Slowly which is taking the form of banyan tree.</v>
      </c>
      <c r="D1708" s="5"/>
      <c r="E1708" s="5"/>
      <c r="F1708" s="5"/>
      <c r="G1708" s="5"/>
      <c r="H1708" s="5"/>
      <c r="I1708" s="5"/>
      <c r="J1708" s="5"/>
      <c r="K1708" s="5"/>
      <c r="L1708" s="5"/>
      <c r="M1708" s="5"/>
      <c r="N1708" s="5"/>
      <c r="O1708" s="5"/>
      <c r="P1708" s="5"/>
      <c r="Q1708" s="5"/>
      <c r="R1708" s="5"/>
      <c r="S1708" s="5"/>
      <c r="T1708" s="5"/>
      <c r="U1708" s="5"/>
      <c r="V1708" s="5"/>
      <c r="W1708" s="5"/>
      <c r="X1708" s="5"/>
      <c r="Y1708" s="5"/>
      <c r="Z1708" s="5"/>
    </row>
    <row r="1709" spans="1:26" ht="15.6" x14ac:dyDescent="0.3">
      <c r="A1709" s="19" t="s">
        <v>8</v>
      </c>
      <c r="B1709" s="26" t="s">
        <v>1710</v>
      </c>
      <c r="C1709" s="2" t="str">
        <f ca="1">IFERROR(__xludf.DUMMYFUNCTION("GOOGLETRANSLATE(B1709, ""bn"", ""en"")"),"Miscreants set fire to the door of an old church in Jhenaidah and wrote religious slogans on the wall.")</f>
        <v>Miscreants set fire to the door of an old church in Jhenaidah and wrote religious slogans on the wall.</v>
      </c>
      <c r="D1709" s="5"/>
      <c r="E1709" s="5"/>
      <c r="F1709" s="5"/>
      <c r="G1709" s="5"/>
      <c r="H1709" s="5"/>
      <c r="I1709" s="5"/>
      <c r="J1709" s="5"/>
      <c r="K1709" s="5"/>
      <c r="L1709" s="5"/>
      <c r="M1709" s="5"/>
      <c r="N1709" s="5"/>
      <c r="O1709" s="5"/>
      <c r="P1709" s="5"/>
      <c r="Q1709" s="5"/>
      <c r="R1709" s="5"/>
      <c r="S1709" s="5"/>
      <c r="T1709" s="5"/>
      <c r="U1709" s="5"/>
      <c r="V1709" s="5"/>
      <c r="W1709" s="5"/>
      <c r="X1709" s="5"/>
      <c r="Y1709" s="5"/>
      <c r="Z1709" s="5"/>
    </row>
    <row r="1710" spans="1:26" ht="15.6" x14ac:dyDescent="0.3">
      <c r="A1710" s="18" t="s">
        <v>5</v>
      </c>
      <c r="B1710" s="24" t="s">
        <v>1711</v>
      </c>
      <c r="C1710" s="2" t="str">
        <f ca="1">IFERROR(__xludf.DUMMYFUNCTION("GOOGLETRANSLATE(B1710, ""bn"", ""en"")"),"22 people were killed in clashes when a group seized minority property.")</f>
        <v>22 people were killed in clashes when a group seized minority property.</v>
      </c>
      <c r="D1710" s="5"/>
      <c r="E1710" s="5"/>
      <c r="F1710" s="5"/>
      <c r="G1710" s="5"/>
      <c r="H1710" s="5"/>
      <c r="I1710" s="5"/>
      <c r="J1710" s="5"/>
      <c r="K1710" s="5"/>
      <c r="L1710" s="5"/>
      <c r="M1710" s="5"/>
      <c r="N1710" s="5"/>
      <c r="O1710" s="5"/>
      <c r="P1710" s="5"/>
      <c r="Q1710" s="5"/>
      <c r="R1710" s="5"/>
      <c r="S1710" s="5"/>
      <c r="T1710" s="5"/>
      <c r="U1710" s="5"/>
      <c r="V1710" s="5"/>
      <c r="W1710" s="5"/>
      <c r="X1710" s="5"/>
      <c r="Y1710" s="5"/>
      <c r="Z1710" s="5"/>
    </row>
    <row r="1711" spans="1:26" ht="15.6" x14ac:dyDescent="0.3">
      <c r="A1711" s="18" t="s">
        <v>5</v>
      </c>
      <c r="B1711" s="25" t="s">
        <v>1712</v>
      </c>
      <c r="C1711" s="2" t="str">
        <f ca="1">IFERROR(__xludf.DUMMYFUNCTION("GOOGLETRANSLATE(B1711, ""bn"", ""en"")"),"The incident of 'desecration of Quran' hurt the feelings of Muslims. After at least seven people were killed in police firing, tension spread across the country and puja festival pandals were attacked.")</f>
        <v>The incident of 'desecration of Quran' hurt the feelings of Muslims. After at least seven people were killed in police firing, tension spread across the country and puja festival pandals were attacked.</v>
      </c>
      <c r="D1711" s="2"/>
      <c r="E1711" s="2"/>
      <c r="F1711" s="2"/>
      <c r="G1711" s="2"/>
      <c r="H1711" s="3"/>
      <c r="I1711" s="3"/>
      <c r="J1711" s="3"/>
      <c r="K1711" s="3"/>
      <c r="L1711" s="3"/>
      <c r="M1711" s="3"/>
      <c r="N1711" s="3"/>
      <c r="O1711" s="3"/>
      <c r="P1711" s="3"/>
      <c r="Q1711" s="3"/>
      <c r="R1711" s="3"/>
      <c r="S1711" s="3"/>
      <c r="T1711" s="3"/>
      <c r="U1711" s="3"/>
      <c r="V1711" s="3"/>
      <c r="W1711" s="3"/>
      <c r="X1711" s="3"/>
      <c r="Y1711" s="3"/>
      <c r="Z1711" s="3"/>
    </row>
    <row r="1712" spans="1:26" ht="15.6" x14ac:dyDescent="0.3">
      <c r="A1712" s="19" t="s">
        <v>8</v>
      </c>
      <c r="B1712" s="26" t="s">
        <v>1713</v>
      </c>
      <c r="C1712" s="2" t="str">
        <f ca="1">IFERROR(__xludf.DUMMYFUNCTION("GOOGLETRANSLATE(B1712, ""bn"", ""en"")"),"In Gazipur district, Muslim mobs vandalized and looted the Kashimpur Subal Das family temple and the Kashimpur Bazar Kali temple on 13 October.[36] Sri Sri Radha Govinda Temple in Kashimpur was attacked in the morning on 14 October.")</f>
        <v>In Gazipur district, Muslim mobs vandalized and looted the Kashimpur Subal Das family temple and the Kashimpur Bazar Kali temple on 13 October.[36] Sri Sri Radha Govinda Temple in Kashimpur was attacked in the morning on 14 October.</v>
      </c>
      <c r="D1712" s="5"/>
      <c r="E1712" s="5"/>
      <c r="F1712" s="5"/>
      <c r="G1712" s="5"/>
      <c r="H1712" s="5"/>
      <c r="I1712" s="5"/>
      <c r="J1712" s="5"/>
      <c r="K1712" s="5"/>
      <c r="L1712" s="5"/>
      <c r="M1712" s="5"/>
      <c r="N1712" s="5"/>
      <c r="O1712" s="5"/>
      <c r="P1712" s="5"/>
      <c r="Q1712" s="5"/>
      <c r="R1712" s="5"/>
      <c r="S1712" s="5"/>
      <c r="T1712" s="5"/>
      <c r="U1712" s="5"/>
      <c r="V1712" s="5"/>
      <c r="W1712" s="5"/>
      <c r="X1712" s="5"/>
      <c r="Y1712" s="5"/>
      <c r="Z1712" s="5"/>
    </row>
    <row r="1713" spans="1:26" ht="15.6" x14ac:dyDescent="0.3">
      <c r="A1713" s="18" t="s">
        <v>5</v>
      </c>
      <c r="B1713" s="24" t="s">
        <v>1714</v>
      </c>
      <c r="C1713" s="2" t="str">
        <f ca="1">IFERROR(__xludf.DUMMYFUNCTION("GOOGLETRANSLATE(B1713, ""bn"", ""en"")"),"A young convert is lynched by his own family, killing 12 people.")</f>
        <v>A young convert is lynched by his own family, killing 12 people.</v>
      </c>
      <c r="D1713" s="5"/>
      <c r="E1713" s="5"/>
      <c r="F1713" s="5"/>
      <c r="G1713" s="5"/>
      <c r="H1713" s="5"/>
      <c r="I1713" s="5"/>
      <c r="J1713" s="5"/>
      <c r="K1713" s="5"/>
      <c r="L1713" s="5"/>
      <c r="M1713" s="5"/>
      <c r="N1713" s="5"/>
      <c r="O1713" s="5"/>
      <c r="P1713" s="5"/>
      <c r="Q1713" s="5"/>
      <c r="R1713" s="5"/>
      <c r="S1713" s="5"/>
      <c r="T1713" s="5"/>
      <c r="U1713" s="5"/>
      <c r="V1713" s="5"/>
      <c r="W1713" s="5"/>
      <c r="X1713" s="5"/>
      <c r="Y1713" s="5"/>
      <c r="Z1713" s="5"/>
    </row>
    <row r="1714" spans="1:26" ht="15.6" x14ac:dyDescent="0.3">
      <c r="A1714" s="19" t="s">
        <v>3</v>
      </c>
      <c r="B1714" s="26" t="s">
        <v>1715</v>
      </c>
      <c r="C1714" s="2" t="str">
        <f ca="1">IFERROR(__xludf.DUMMYFUNCTION("GOOGLETRANSLATE(B1714, ""bn"", ""en"")"),"One of the most important sources of Islamic teachings is the Hadith collection, which contains accounts of the Prophet Muhammad's verbal and behavioral teachings and practices.")</f>
        <v>One of the most important sources of Islamic teachings is the Hadith collection, which contains accounts of the Prophet Muhammad's verbal and behavioral teachings and practices.</v>
      </c>
      <c r="D1714" s="5"/>
      <c r="E1714" s="5"/>
      <c r="F1714" s="5"/>
      <c r="G1714" s="5"/>
      <c r="H1714" s="5"/>
      <c r="I1714" s="5"/>
      <c r="J1714" s="5"/>
      <c r="K1714" s="5"/>
      <c r="L1714" s="5"/>
      <c r="M1714" s="5"/>
      <c r="N1714" s="5"/>
      <c r="O1714" s="5"/>
      <c r="P1714" s="5"/>
      <c r="Q1714" s="5"/>
      <c r="R1714" s="5"/>
      <c r="S1714" s="5"/>
      <c r="T1714" s="5"/>
      <c r="U1714" s="5"/>
      <c r="V1714" s="5"/>
      <c r="W1714" s="5"/>
      <c r="X1714" s="5"/>
      <c r="Y1714" s="5"/>
      <c r="Z1714" s="5"/>
    </row>
    <row r="1715" spans="1:26" ht="15.6" x14ac:dyDescent="0.3">
      <c r="A1715" s="18" t="s">
        <v>3</v>
      </c>
      <c r="B1715" s="25" t="s">
        <v>1716</v>
      </c>
      <c r="C1715" s="2" t="str">
        <f ca="1">IFERROR(__xludf.DUMMYFUNCTION("GOOGLETRANSLATE(B1715, ""bn"", ""en"")"),"So those who buy the Hereafter in exchange for this world should strive in the way of Allah; And whoever fights in the way of Allah, then wins, then I will give him a great reward.")</f>
        <v>So those who buy the Hereafter in exchange for this world should strive in the way of Allah; And whoever fights in the way of Allah, then wins, then I will give him a great reward.</v>
      </c>
      <c r="D1715" s="2"/>
      <c r="E1715" s="2"/>
      <c r="F1715" s="2"/>
      <c r="G1715" s="2"/>
      <c r="H1715" s="3"/>
      <c r="I1715" s="3"/>
      <c r="J1715" s="3"/>
      <c r="K1715" s="3"/>
      <c r="L1715" s="3"/>
      <c r="M1715" s="3"/>
      <c r="N1715" s="3"/>
      <c r="O1715" s="3"/>
      <c r="P1715" s="3"/>
      <c r="Q1715" s="3"/>
      <c r="R1715" s="3"/>
      <c r="S1715" s="3"/>
      <c r="T1715" s="3"/>
      <c r="U1715" s="3"/>
      <c r="V1715" s="3"/>
      <c r="W1715" s="3"/>
      <c r="X1715" s="3"/>
      <c r="Y1715" s="3"/>
      <c r="Z1715" s="3"/>
    </row>
    <row r="1716" spans="1:26" ht="15.6" x14ac:dyDescent="0.3">
      <c r="A1716" s="19" t="s">
        <v>3</v>
      </c>
      <c r="B1716" s="26" t="s">
        <v>1717</v>
      </c>
      <c r="C1716" s="2" t="str">
        <f ca="1">IFERROR(__xludf.DUMMYFUNCTION("GOOGLETRANSLATE(B1716, ""bn"", ""en"")"),"One should pray to Allah in 6 different ways: health, halal income, safe residence, good spouse, good children and death with faith.")</f>
        <v>One should pray to Allah in 6 different ways: health, halal income, safe residence, good spouse, good children and death with faith.</v>
      </c>
      <c r="D1716" s="7"/>
      <c r="E1716" s="7"/>
      <c r="F1716" s="7"/>
      <c r="G1716" s="7"/>
      <c r="H1716" s="7"/>
      <c r="I1716" s="7"/>
      <c r="J1716" s="7"/>
      <c r="K1716" s="7"/>
      <c r="L1716" s="5"/>
      <c r="M1716" s="5"/>
      <c r="N1716" s="5"/>
      <c r="O1716" s="5"/>
      <c r="P1716" s="5"/>
      <c r="Q1716" s="5"/>
      <c r="R1716" s="5"/>
      <c r="S1716" s="5"/>
      <c r="T1716" s="5"/>
      <c r="U1716" s="5"/>
      <c r="V1716" s="5"/>
      <c r="W1716" s="5"/>
      <c r="X1716" s="5"/>
      <c r="Y1716" s="5"/>
      <c r="Z1716" s="5"/>
    </row>
    <row r="1717" spans="1:26" ht="15.6" x14ac:dyDescent="0.3">
      <c r="A1717" s="18" t="s">
        <v>5</v>
      </c>
      <c r="B1717" s="24" t="s">
        <v>1718</v>
      </c>
      <c r="C1717" s="2" t="str">
        <f ca="1">IFERROR(__xludf.DUMMYFUNCTION("GOOGLETRANSLATE(B1717, ""bn"", ""en"")"),"Communal hatred led to clashes between Hindus and Muslims in Comilla, where rioters vandalized and set fire to shops. At least 30 people were killed and hundreds were injured in this clash. Although security forces were deployed to control the situation, "&amp;"many people were left homeless despite efforts to stop the clashes.")</f>
        <v>Communal hatred led to clashes between Hindus and Muslims in Comilla, where rioters vandalized and set fire to shops. At least 30 people were killed and hundreds were injured in this clash. Although security forces were deployed to control the situation, many people were left homeless despite efforts to stop the clashes.</v>
      </c>
      <c r="D1717" s="5"/>
      <c r="E1717" s="5"/>
      <c r="F1717" s="5"/>
      <c r="G1717" s="5"/>
      <c r="H1717" s="5"/>
      <c r="I1717" s="5"/>
      <c r="J1717" s="5"/>
      <c r="K1717" s="5"/>
      <c r="L1717" s="5"/>
      <c r="M1717" s="5"/>
      <c r="N1717" s="5"/>
      <c r="O1717" s="5"/>
      <c r="P1717" s="5"/>
      <c r="Q1717" s="5"/>
      <c r="R1717" s="5"/>
      <c r="S1717" s="5"/>
      <c r="T1717" s="5"/>
      <c r="U1717" s="5"/>
      <c r="V1717" s="5"/>
      <c r="W1717" s="5"/>
      <c r="X1717" s="5"/>
      <c r="Y1717" s="5"/>
      <c r="Z1717" s="5"/>
    </row>
    <row r="1718" spans="1:26" ht="15.6" x14ac:dyDescent="0.3">
      <c r="A1718" s="19" t="s">
        <v>3</v>
      </c>
      <c r="B1718" s="26" t="s">
        <v>1719</v>
      </c>
      <c r="C1718" s="2" t="str">
        <f ca="1">IFERROR(__xludf.DUMMYFUNCTION("GOOGLETRANSLATE(B1718, ""bn"", ""en"")"),"Janazah is a special prayer performed before burying a dead Muslim.")</f>
        <v>Janazah is a special prayer performed before burying a dead Muslim.</v>
      </c>
      <c r="D1718" s="5"/>
      <c r="E1718" s="5"/>
      <c r="F1718" s="5"/>
      <c r="G1718" s="5"/>
      <c r="H1718" s="5"/>
      <c r="I1718" s="5"/>
      <c r="J1718" s="5"/>
      <c r="K1718" s="5"/>
      <c r="L1718" s="5"/>
      <c r="M1718" s="5"/>
      <c r="N1718" s="5"/>
      <c r="O1718" s="5"/>
      <c r="P1718" s="5"/>
      <c r="Q1718" s="5"/>
      <c r="R1718" s="5"/>
      <c r="S1718" s="5"/>
      <c r="T1718" s="5"/>
      <c r="U1718" s="5"/>
      <c r="V1718" s="5"/>
      <c r="W1718" s="5"/>
      <c r="X1718" s="5"/>
      <c r="Y1718" s="5"/>
      <c r="Z1718" s="5"/>
    </row>
    <row r="1719" spans="1:26" ht="15.6" x14ac:dyDescent="0.3">
      <c r="A1719" s="19" t="s">
        <v>23</v>
      </c>
      <c r="B1719" s="26" t="s">
        <v>1720</v>
      </c>
      <c r="C1719" s="2" t="str">
        <f ca="1">IFERROR(__xludf.DUMMYFUNCTION("GOOGLETRANSLATE(B1719, ""bn"", ""en"")"),"Are they Muslims at all??? Is there not a single Muslim among them!???")</f>
        <v>Are they Muslims at all??? Is there not a single Muslim among them!???</v>
      </c>
      <c r="D1719" s="7"/>
      <c r="E1719" s="5"/>
      <c r="F1719" s="5"/>
      <c r="G1719" s="5"/>
      <c r="H1719" s="5"/>
      <c r="I1719" s="5"/>
      <c r="J1719" s="5"/>
      <c r="K1719" s="5"/>
      <c r="L1719" s="5"/>
      <c r="M1719" s="5"/>
      <c r="N1719" s="5"/>
      <c r="O1719" s="5"/>
      <c r="P1719" s="5"/>
      <c r="Q1719" s="5"/>
      <c r="R1719" s="5"/>
      <c r="S1719" s="5"/>
      <c r="T1719" s="5"/>
      <c r="U1719" s="5"/>
      <c r="V1719" s="5"/>
      <c r="W1719" s="5"/>
      <c r="X1719" s="5"/>
      <c r="Y1719" s="5"/>
      <c r="Z1719" s="5"/>
    </row>
    <row r="1720" spans="1:26" ht="15.6" x14ac:dyDescent="0.3">
      <c r="A1720" s="19" t="s">
        <v>5</v>
      </c>
      <c r="B1720" s="26" t="s">
        <v>1721</v>
      </c>
      <c r="C1720" s="2" t="str">
        <f ca="1">IFERROR(__xludf.DUMMYFUNCTION("GOOGLETRANSLATE(B1720, ""bn"", ""en"")"),"Opposition to Islam, under whose protection how long power? Alas, man.")</f>
        <v>Opposition to Islam, under whose protection how long power? Alas, man.</v>
      </c>
      <c r="D1720" s="5"/>
      <c r="E1720" s="5"/>
      <c r="F1720" s="5"/>
      <c r="G1720" s="5"/>
      <c r="H1720" s="5"/>
      <c r="I1720" s="5"/>
      <c r="J1720" s="5"/>
      <c r="K1720" s="5"/>
      <c r="L1720" s="5"/>
      <c r="M1720" s="5"/>
      <c r="N1720" s="5"/>
      <c r="O1720" s="5"/>
      <c r="P1720" s="5"/>
      <c r="Q1720" s="5"/>
      <c r="R1720" s="5"/>
      <c r="S1720" s="5"/>
      <c r="T1720" s="5"/>
      <c r="U1720" s="5"/>
      <c r="V1720" s="5"/>
      <c r="W1720" s="5"/>
      <c r="X1720" s="5"/>
      <c r="Y1720" s="5"/>
      <c r="Z1720" s="5"/>
    </row>
    <row r="1721" spans="1:26" ht="15.6" x14ac:dyDescent="0.3">
      <c r="A1721" s="19" t="s">
        <v>5</v>
      </c>
      <c r="B1721" s="30" t="s">
        <v>1722</v>
      </c>
      <c r="C1721" s="2" t="str">
        <f ca="1">IFERROR(__xludf.DUMMYFUNCTION("GOOGLETRANSLATE(B1721, ""bn"", ""en"")"),"In 1566, when a Catholic procession reached a Protestant neighborhood, the Protestants shouted ""Kill, kill, kill!!"" chanted and followed days of communal violence with numerous casualties.")</f>
        <v>In 1566, when a Catholic procession reached a Protestant neighborhood, the Protestants shouted "Kill, kill, kill!!" chanted and followed days of communal violence with numerous casualties.</v>
      </c>
      <c r="D1721" s="11"/>
      <c r="E1721" s="11"/>
      <c r="F1721" s="2"/>
      <c r="G1721" s="2"/>
      <c r="H1721" s="5"/>
      <c r="I1721" s="5"/>
      <c r="J1721" s="5"/>
      <c r="K1721" s="5"/>
      <c r="L1721" s="5"/>
      <c r="M1721" s="5"/>
      <c r="N1721" s="5"/>
      <c r="O1721" s="5"/>
      <c r="P1721" s="5"/>
      <c r="Q1721" s="5"/>
      <c r="R1721" s="5"/>
      <c r="S1721" s="5"/>
      <c r="T1721" s="5"/>
      <c r="U1721" s="5"/>
      <c r="V1721" s="5"/>
      <c r="W1721" s="5"/>
      <c r="X1721" s="5"/>
      <c r="Y1721" s="5"/>
      <c r="Z1721" s="5"/>
    </row>
    <row r="1722" spans="1:26" ht="15.6" x14ac:dyDescent="0.3">
      <c r="A1722" s="18" t="s">
        <v>5</v>
      </c>
      <c r="B1722" s="24" t="s">
        <v>1723</v>
      </c>
      <c r="C1722" s="2" t="str">
        <f ca="1">IFERROR(__xludf.DUMMYFUNCTION("GOOGLETRANSLATE(B1722, ""bn"", ""en"")"),"In the name of religion, the supply of water and medicine to the village was stopped, resulting in the death of 73 people in the epidemic.")</f>
        <v>In the name of religion, the supply of water and medicine to the village was stopped, resulting in the death of 73 people in the epidemic.</v>
      </c>
      <c r="D1722" s="5"/>
      <c r="E1722" s="5"/>
      <c r="F1722" s="5"/>
      <c r="G1722" s="5"/>
      <c r="H1722" s="5"/>
      <c r="I1722" s="5"/>
      <c r="J1722" s="5"/>
      <c r="K1722" s="5"/>
      <c r="L1722" s="5"/>
      <c r="M1722" s="5"/>
      <c r="N1722" s="5"/>
      <c r="O1722" s="5"/>
      <c r="P1722" s="5"/>
      <c r="Q1722" s="5"/>
      <c r="R1722" s="5"/>
      <c r="S1722" s="5"/>
      <c r="T1722" s="5"/>
      <c r="U1722" s="5"/>
      <c r="V1722" s="5"/>
      <c r="W1722" s="5"/>
      <c r="X1722" s="5"/>
      <c r="Y1722" s="5"/>
      <c r="Z1722" s="5"/>
    </row>
    <row r="1723" spans="1:26" ht="15.6" x14ac:dyDescent="0.3">
      <c r="A1723" s="18" t="s">
        <v>8</v>
      </c>
      <c r="B1723" s="25" t="s">
        <v>1724</v>
      </c>
      <c r="C1723" s="2" t="str">
        <f ca="1">IFERROR(__xludf.DUMMYFUNCTION("GOOGLETRANSLATE(B1723, ""bn"", ""en"")"),"In Alfadanga of Faridpur, 10 idols of 3 temples were vandalized in one night. Various traditional organizations including the Upazila Hindu Buddhist Christian Oikya Parishad formed a human chain in Alfadanga Chowrasta area in protest against the incident.")</f>
        <v>In Alfadanga of Faridpur, 10 idols of 3 temples were vandalized in one night. Various traditional organizations including the Upazila Hindu Buddhist Christian Oikya Parishad formed a human chain in Alfadanga Chowrasta area in protest against the incident.</v>
      </c>
      <c r="D1723" s="6"/>
      <c r="E1723" s="6"/>
      <c r="F1723" s="6"/>
      <c r="G1723" s="6"/>
      <c r="H1723" s="3"/>
      <c r="I1723" s="3"/>
      <c r="J1723" s="3"/>
      <c r="K1723" s="3"/>
      <c r="L1723" s="3"/>
      <c r="M1723" s="3"/>
      <c r="N1723" s="3"/>
      <c r="O1723" s="3"/>
      <c r="P1723" s="3"/>
      <c r="Q1723" s="3"/>
      <c r="R1723" s="3"/>
      <c r="S1723" s="3"/>
      <c r="T1723" s="3"/>
      <c r="U1723" s="3"/>
      <c r="V1723" s="3"/>
      <c r="W1723" s="3"/>
      <c r="X1723" s="3"/>
      <c r="Y1723" s="3"/>
      <c r="Z1723" s="3"/>
    </row>
    <row r="1724" spans="1:26" ht="15.6" x14ac:dyDescent="0.3">
      <c r="A1724" s="18" t="s">
        <v>8</v>
      </c>
      <c r="B1724" s="24" t="s">
        <v>1725</v>
      </c>
      <c r="C1724" s="2" t="str">
        <f ca="1">IFERROR(__xludf.DUMMYFUNCTION("GOOGLETRANSLATE(B1724, ""bn"", ""en"")"),"In Sirajganj, a pamphlet written 'Embrace another religion' was placed in a temple, which later caused public outrage.")</f>
        <v>In Sirajganj, a pamphlet written 'Embrace another religion' was placed in a temple, which later caused public outrage.</v>
      </c>
      <c r="D1724" s="5"/>
      <c r="E1724" s="5"/>
      <c r="F1724" s="5"/>
      <c r="G1724" s="5"/>
      <c r="H1724" s="5"/>
      <c r="I1724" s="5"/>
      <c r="J1724" s="5"/>
      <c r="K1724" s="5"/>
      <c r="L1724" s="5"/>
      <c r="M1724" s="5"/>
      <c r="N1724" s="5"/>
      <c r="O1724" s="5"/>
      <c r="P1724" s="5"/>
      <c r="Q1724" s="5"/>
      <c r="R1724" s="5"/>
      <c r="S1724" s="5"/>
      <c r="T1724" s="5"/>
      <c r="U1724" s="5"/>
      <c r="V1724" s="5"/>
      <c r="W1724" s="5"/>
      <c r="X1724" s="5"/>
      <c r="Y1724" s="5"/>
      <c r="Z1724" s="5"/>
    </row>
    <row r="1725" spans="1:26" ht="15.6" x14ac:dyDescent="0.3">
      <c r="A1725" s="19" t="s">
        <v>8</v>
      </c>
      <c r="B1725" s="26" t="s">
        <v>1726</v>
      </c>
      <c r="C1725" s="2" t="str">
        <f ca="1">IFERROR(__xludf.DUMMYFUNCTION("GOOGLETRANSLATE(B1725, ""bn"", ""en"")"),"The Productivity Ramadan Program at Dhaka University was attacked, and the Dean of the Faculty of Arts and the Chairman of the Arabic Department were attacked over Arabic education in Battala.")</f>
        <v>The Productivity Ramadan Program at Dhaka University was attacked, and the Dean of the Faculty of Arts and the Chairman of the Arabic Department were attacked over Arabic education in Battala.</v>
      </c>
      <c r="D1725" s="7"/>
      <c r="E1725" s="7"/>
      <c r="F1725" s="7"/>
      <c r="G1725" s="7"/>
      <c r="H1725" s="7"/>
      <c r="I1725" s="7"/>
      <c r="J1725" s="7"/>
      <c r="K1725" s="7"/>
      <c r="L1725" s="7"/>
      <c r="M1725" s="7"/>
      <c r="N1725" s="5"/>
      <c r="O1725" s="5"/>
      <c r="P1725" s="5"/>
      <c r="Q1725" s="5"/>
      <c r="R1725" s="5"/>
      <c r="S1725" s="5"/>
      <c r="T1725" s="5"/>
      <c r="U1725" s="5"/>
      <c r="V1725" s="5"/>
      <c r="W1725" s="5"/>
      <c r="X1725" s="5"/>
      <c r="Y1725" s="5"/>
      <c r="Z1725" s="5"/>
    </row>
    <row r="1726" spans="1:26" ht="15.6" x14ac:dyDescent="0.3">
      <c r="A1726" s="18" t="s">
        <v>3</v>
      </c>
      <c r="B1726" s="25" t="s">
        <v>1727</v>
      </c>
      <c r="C1726" s="2" t="str">
        <f ca="1">IFERROR(__xludf.DUMMYFUNCTION("GOOGLETRANSLATE(B1726, ""bn"", ""en"")"),"""Lailatul Qadr"" in Arabic, Qadr Rajni in Bengali, its Persian is Shabe Qadr. Meaning Honorable Rajni or fateful Rajni. Any one of the odd nights in the last decade of Ramadan is Shabae Qadr.")</f>
        <v>"Lailatul Qadr" in Arabic, Qadr Rajni in Bengali, its Persian is Shabe Qadr. Meaning Honorable Rajni or fateful Rajni. Any one of the odd nights in the last decade of Ramadan is Shabae Qadr.</v>
      </c>
      <c r="D1726" s="5"/>
      <c r="E1726" s="5"/>
      <c r="F1726" s="5"/>
      <c r="G1726" s="5"/>
      <c r="H1726" s="5"/>
      <c r="I1726" s="5"/>
      <c r="J1726" s="5"/>
      <c r="K1726" s="5"/>
      <c r="L1726" s="5"/>
      <c r="M1726" s="5"/>
      <c r="N1726" s="5"/>
      <c r="O1726" s="5"/>
      <c r="P1726" s="5"/>
      <c r="Q1726" s="5"/>
      <c r="R1726" s="5"/>
      <c r="S1726" s="5"/>
      <c r="T1726" s="5"/>
      <c r="U1726" s="5"/>
      <c r="V1726" s="5"/>
      <c r="W1726" s="5"/>
      <c r="X1726" s="5"/>
      <c r="Y1726" s="5"/>
      <c r="Z1726" s="5"/>
    </row>
    <row r="1727" spans="1:26" ht="15.6" x14ac:dyDescent="0.3">
      <c r="A1727" s="18" t="s">
        <v>23</v>
      </c>
      <c r="B1727" s="25" t="s">
        <v>1728</v>
      </c>
      <c r="C1727" s="2" t="str">
        <f ca="1">IFERROR(__xludf.DUMMYFUNCTION("GOOGLETRANSLATE(B1727, ""bn"", ""en"")"),"The work of the Hindu community in the country has been done in a well-planned manner through conspiracy. Because the Hindu people of this country will not take such a big risk. Even after that, the broker government!")</f>
        <v>The work of the Hindu community in the country has been done in a well-planned manner through conspiracy. Because the Hindu people of this country will not take such a big risk. Even after that, the broker government!</v>
      </c>
      <c r="D1727" s="2"/>
      <c r="E1727" s="2"/>
      <c r="F1727" s="2"/>
      <c r="G1727" s="2"/>
      <c r="H1727" s="5"/>
      <c r="I1727" s="5"/>
      <c r="J1727" s="5"/>
      <c r="K1727" s="5"/>
      <c r="L1727" s="5"/>
      <c r="M1727" s="5"/>
      <c r="N1727" s="5"/>
      <c r="O1727" s="5"/>
      <c r="P1727" s="5"/>
      <c r="Q1727" s="5"/>
      <c r="R1727" s="5"/>
      <c r="S1727" s="5"/>
      <c r="T1727" s="5"/>
      <c r="U1727" s="5"/>
      <c r="V1727" s="5"/>
      <c r="W1727" s="5"/>
      <c r="X1727" s="5"/>
      <c r="Y1727" s="5"/>
      <c r="Z1727" s="5"/>
    </row>
    <row r="1728" spans="1:26" ht="15.6" x14ac:dyDescent="0.3">
      <c r="A1728" s="18" t="s">
        <v>8</v>
      </c>
      <c r="B1728" s="25" t="s">
        <v>1729</v>
      </c>
      <c r="C1728" s="2" t="str">
        <f ca="1">IFERROR(__xludf.DUMMYFUNCTION("GOOGLETRANSLATE(B1728, ""bn"", ""en"")"),"Those who insult Quran should be properly tried, I say as a Muslim, war should be declared against them.")</f>
        <v>Those who insult Quran should be properly tried, I say as a Muslim, war should be declared against them.</v>
      </c>
      <c r="D1728" s="5"/>
      <c r="E1728" s="5"/>
      <c r="F1728" s="5"/>
      <c r="G1728" s="5"/>
      <c r="H1728" s="5"/>
      <c r="I1728" s="5"/>
      <c r="J1728" s="5"/>
      <c r="K1728" s="5"/>
      <c r="L1728" s="5"/>
      <c r="M1728" s="5"/>
      <c r="N1728" s="5"/>
      <c r="O1728" s="5"/>
      <c r="P1728" s="5"/>
      <c r="Q1728" s="5"/>
      <c r="R1728" s="5"/>
      <c r="S1728" s="5"/>
      <c r="T1728" s="5"/>
      <c r="U1728" s="5"/>
      <c r="V1728" s="5"/>
      <c r="W1728" s="5"/>
      <c r="X1728" s="5"/>
      <c r="Y1728" s="5"/>
      <c r="Z1728" s="5"/>
    </row>
    <row r="1729" spans="1:26" ht="15.6" x14ac:dyDescent="0.3">
      <c r="A1729" s="18" t="s">
        <v>23</v>
      </c>
      <c r="B1729" s="25" t="s">
        <v>1730</v>
      </c>
      <c r="C1729" s="2" t="str">
        <f ca="1">IFERROR(__xludf.DUMMYFUNCTION("GOOGLETRANSLATE(B1729, ""bn"", ""en"")"),"Even a year ago, the man who laughed at the Qur'an and talked nonsense about Paradise and Hell, literally died a Sufi within a year.")</f>
        <v>Even a year ago, the man who laughed at the Qur'an and talked nonsense about Paradise and Hell, literally died a Sufi within a year.</v>
      </c>
      <c r="D1729" s="7"/>
      <c r="E1729" s="7"/>
      <c r="F1729" s="7"/>
      <c r="G1729" s="7"/>
      <c r="H1729" s="7"/>
      <c r="I1729" s="7"/>
      <c r="J1729" s="7"/>
      <c r="K1729" s="7"/>
      <c r="L1729" s="5"/>
      <c r="M1729" s="5"/>
      <c r="N1729" s="5"/>
      <c r="O1729" s="5"/>
      <c r="P1729" s="5"/>
      <c r="Q1729" s="5"/>
      <c r="R1729" s="5"/>
      <c r="S1729" s="5"/>
      <c r="T1729" s="5"/>
      <c r="U1729" s="5"/>
      <c r="V1729" s="5"/>
      <c r="W1729" s="5"/>
      <c r="X1729" s="5"/>
      <c r="Y1729" s="5"/>
      <c r="Z1729" s="5"/>
    </row>
    <row r="1730" spans="1:26" ht="15.6" x14ac:dyDescent="0.3">
      <c r="A1730" s="18" t="s">
        <v>23</v>
      </c>
      <c r="B1730" s="25" t="s">
        <v>1731</v>
      </c>
      <c r="C1730" s="2" t="str">
        <f ca="1">IFERROR(__xludf.DUMMYFUNCTION("GOOGLETRANSLATE(B1730, ""bn"", ""en"")"),"Another class of Hindus build temples, serve tilaks, do kirtans, and just want to do puja but the movement to protect Hindus does nothing to increase Hindu followers.")</f>
        <v>Another class of Hindus build temples, serve tilaks, do kirtans, and just want to do puja but the movement to protect Hindus does nothing to increase Hindu followers.</v>
      </c>
      <c r="D1730" s="2"/>
      <c r="E1730" s="2"/>
      <c r="F1730" s="2"/>
      <c r="G1730" s="2"/>
      <c r="H1730" s="5"/>
      <c r="I1730" s="5"/>
      <c r="J1730" s="5"/>
      <c r="K1730" s="5"/>
      <c r="L1730" s="5"/>
      <c r="M1730" s="5"/>
      <c r="N1730" s="5"/>
      <c r="O1730" s="5"/>
      <c r="P1730" s="5"/>
      <c r="Q1730" s="5"/>
      <c r="R1730" s="5"/>
      <c r="S1730" s="5"/>
      <c r="T1730" s="5"/>
      <c r="U1730" s="5"/>
      <c r="V1730" s="5"/>
      <c r="W1730" s="5"/>
      <c r="X1730" s="5"/>
      <c r="Y1730" s="5"/>
      <c r="Z1730" s="5"/>
    </row>
    <row r="1731" spans="1:26" ht="15.6" x14ac:dyDescent="0.3">
      <c r="A1731" s="18" t="s">
        <v>8</v>
      </c>
      <c r="B1731" s="24" t="s">
        <v>1732</v>
      </c>
      <c r="C1731" s="2" t="str">
        <f ca="1">IFERROR(__xludf.DUMMYFUNCTION("GOOGLETRANSLATE(B1731, ""bn"", ""en"")"),"The miscreants entered the temple in Satkhira and stole the bells and covers, disrupting the worship.")</f>
        <v>The miscreants entered the temple in Satkhira and stole the bells and covers, disrupting the worship.</v>
      </c>
      <c r="D1731" s="5"/>
      <c r="E1731" s="5"/>
      <c r="F1731" s="5"/>
      <c r="G1731" s="5"/>
      <c r="H1731" s="5"/>
      <c r="I1731" s="5"/>
      <c r="J1731" s="5"/>
      <c r="K1731" s="5"/>
      <c r="L1731" s="5"/>
      <c r="M1731" s="5"/>
      <c r="N1731" s="5"/>
      <c r="O1731" s="5"/>
      <c r="P1731" s="5"/>
      <c r="Q1731" s="5"/>
      <c r="R1731" s="5"/>
      <c r="S1731" s="5"/>
      <c r="T1731" s="5"/>
      <c r="U1731" s="5"/>
      <c r="V1731" s="5"/>
      <c r="W1731" s="5"/>
      <c r="X1731" s="5"/>
      <c r="Y1731" s="5"/>
      <c r="Z1731" s="5"/>
    </row>
    <row r="1732" spans="1:26" ht="15.6" x14ac:dyDescent="0.3">
      <c r="A1732" s="19" t="s">
        <v>8</v>
      </c>
      <c r="B1732" s="26" t="s">
        <v>1733</v>
      </c>
      <c r="C1732" s="2" t="str">
        <f ca="1">IFERROR(__xludf.DUMMYFUNCTION("GOOGLETRANSLATE(B1732, ""bn"", ""en"")"),"For 15 years no one has been punished for Hindu persecution. Before this, incidents are happening one after the other in Raujan of Chittagong, Ramu of Cox's Bazar, Nasirnagar, Abhaynagar of Jessore. After all this, the government is playing a silent role.")</f>
        <v>For 15 years no one has been punished for Hindu persecution. Before this, incidents are happening one after the other in Raujan of Chittagong, Ramu of Cox's Bazar, Nasirnagar, Abhaynagar of Jessore. After all this, the government is playing a silent role.</v>
      </c>
      <c r="D1732" s="5"/>
      <c r="E1732" s="5"/>
      <c r="F1732" s="5"/>
      <c r="G1732" s="5"/>
      <c r="H1732" s="5"/>
      <c r="I1732" s="5"/>
      <c r="J1732" s="5"/>
      <c r="K1732" s="5"/>
      <c r="L1732" s="5"/>
      <c r="M1732" s="5"/>
      <c r="N1732" s="5"/>
      <c r="O1732" s="5"/>
      <c r="P1732" s="5"/>
      <c r="Q1732" s="5"/>
      <c r="R1732" s="5"/>
      <c r="S1732" s="5"/>
      <c r="T1732" s="5"/>
      <c r="U1732" s="5"/>
      <c r="V1732" s="5"/>
      <c r="W1732" s="5"/>
      <c r="X1732" s="5"/>
      <c r="Y1732" s="5"/>
      <c r="Z1732" s="5"/>
    </row>
    <row r="1733" spans="1:26" ht="15.6" x14ac:dyDescent="0.3">
      <c r="A1733" s="18" t="s">
        <v>8</v>
      </c>
      <c r="B1733" s="24" t="s">
        <v>1734</v>
      </c>
      <c r="C1733" s="2" t="str">
        <f ca="1">IFERROR(__xludf.DUMMYFUNCTION("GOOGLETRANSLATE(B1733, ""bn"", ""en"")"),"At the Buddhist monastery in Satkhira, the idol was set on fire in the evening by sprinkling oil on it, which was then completely burnt.")</f>
        <v>At the Buddhist monastery in Satkhira, the idol was set on fire in the evening by sprinkling oil on it, which was then completely burnt.</v>
      </c>
      <c r="D1733" s="5"/>
      <c r="E1733" s="5"/>
      <c r="F1733" s="5"/>
      <c r="G1733" s="5"/>
      <c r="H1733" s="5"/>
      <c r="I1733" s="5"/>
      <c r="J1733" s="5"/>
      <c r="K1733" s="5"/>
      <c r="L1733" s="5"/>
      <c r="M1733" s="5"/>
      <c r="N1733" s="5"/>
      <c r="O1733" s="5"/>
      <c r="P1733" s="5"/>
      <c r="Q1733" s="5"/>
      <c r="R1733" s="5"/>
      <c r="S1733" s="5"/>
      <c r="T1733" s="5"/>
      <c r="U1733" s="5"/>
      <c r="V1733" s="5"/>
      <c r="W1733" s="5"/>
      <c r="X1733" s="5"/>
      <c r="Y1733" s="5"/>
      <c r="Z1733" s="5"/>
    </row>
    <row r="1734" spans="1:26" ht="15.6" x14ac:dyDescent="0.3">
      <c r="A1734" s="18" t="s">
        <v>23</v>
      </c>
      <c r="B1734" s="25" t="s">
        <v>1735</v>
      </c>
      <c r="C1734" s="2" t="str">
        <f ca="1">IFERROR(__xludf.DUMMYFUNCTION("GOOGLETRANSLATE(B1734, ""bn"", ""en"")"),"The purpose of that bastard will succeed (we believe that Allah forgives, but does not release) to find the real culprit and punish him as a traitor for insulting both religions and creating anarchy in the country. Be it")</f>
        <v>The purpose of that bastard will succeed (we believe that Allah forgives, but does not release) to find the real culprit and punish him as a traitor for insulting both religions and creating anarchy in the country. Be it</v>
      </c>
      <c r="D1734" s="5"/>
      <c r="E1734" s="5"/>
      <c r="F1734" s="5"/>
      <c r="G1734" s="5"/>
      <c r="H1734" s="5"/>
      <c r="I1734" s="5"/>
      <c r="J1734" s="5"/>
      <c r="K1734" s="5"/>
      <c r="L1734" s="5"/>
      <c r="M1734" s="5"/>
      <c r="N1734" s="5"/>
      <c r="O1734" s="5"/>
      <c r="P1734" s="5"/>
      <c r="Q1734" s="5"/>
      <c r="R1734" s="5"/>
      <c r="S1734" s="5"/>
      <c r="T1734" s="5"/>
      <c r="U1734" s="5"/>
      <c r="V1734" s="5"/>
      <c r="W1734" s="5"/>
      <c r="X1734" s="5"/>
      <c r="Y1734" s="5"/>
      <c r="Z1734" s="5"/>
    </row>
    <row r="1735" spans="1:26" ht="15.6" x14ac:dyDescent="0.3">
      <c r="A1735" s="18" t="s">
        <v>5</v>
      </c>
      <c r="B1735" s="25" t="s">
        <v>1736</v>
      </c>
      <c r="C1735" s="2" t="str">
        <f ca="1">IFERROR(__xludf.DUMMYFUNCTION("GOOGLETRANSLATE(B1735, ""bn"", ""en"")"),"Around 400 Bengali Hindus are said to have lost their lives at the hands of the army in Kaliganj massacre, the massacre was planned by Convention Muslim League leader and Union Minister Kazi Abdul Quader.")</f>
        <v>Around 400 Bengali Hindus are said to have lost their lives at the hands of the army in Kaliganj massacre, the massacre was planned by Convention Muslim League leader and Union Minister Kazi Abdul Quader.</v>
      </c>
      <c r="D1735" s="2"/>
      <c r="E1735" s="2"/>
      <c r="F1735" s="2"/>
      <c r="G1735" s="2"/>
      <c r="H1735" s="5"/>
      <c r="I1735" s="5"/>
      <c r="J1735" s="5"/>
      <c r="K1735" s="5"/>
      <c r="L1735" s="5"/>
      <c r="M1735" s="5"/>
      <c r="N1735" s="5"/>
      <c r="O1735" s="5"/>
      <c r="P1735" s="5"/>
      <c r="Q1735" s="5"/>
      <c r="R1735" s="5"/>
      <c r="S1735" s="5"/>
      <c r="T1735" s="5"/>
      <c r="U1735" s="5"/>
      <c r="V1735" s="5"/>
      <c r="W1735" s="5"/>
      <c r="X1735" s="5"/>
      <c r="Y1735" s="5"/>
      <c r="Z1735" s="5"/>
    </row>
    <row r="1736" spans="1:26" ht="15.6" x14ac:dyDescent="0.3">
      <c r="A1736" s="18" t="s">
        <v>5</v>
      </c>
      <c r="B1736" s="24" t="s">
        <v>1737</v>
      </c>
      <c r="C1736" s="2" t="str">
        <f ca="1">IFERROR(__xludf.DUMMYFUNCTION("GOOGLETRANSLATE(B1736, ""bn"", ""en"")"),"On 28 February 2013, after the International Criminal Tribunal announced the death sentence of Jamaat leader Saeedee, Jamaat-Shibir activists attacked Hindu homes and temples. Many Hindu families were affected, 18 people were killed.")</f>
        <v>On 28 February 2013, after the International Criminal Tribunal announced the death sentence of Jamaat leader Saeedee, Jamaat-Shibir activists attacked Hindu homes and temples. Many Hindu families were affected, 18 people were killed.</v>
      </c>
      <c r="D1736" s="5"/>
      <c r="E1736" s="5"/>
      <c r="F1736" s="5"/>
      <c r="G1736" s="5"/>
      <c r="H1736" s="5"/>
      <c r="I1736" s="5"/>
      <c r="J1736" s="5"/>
      <c r="K1736" s="5"/>
      <c r="L1736" s="5"/>
      <c r="M1736" s="5"/>
      <c r="N1736" s="5"/>
      <c r="O1736" s="5"/>
      <c r="P1736" s="5"/>
      <c r="Q1736" s="5"/>
      <c r="R1736" s="5"/>
      <c r="S1736" s="5"/>
      <c r="T1736" s="5"/>
      <c r="U1736" s="5"/>
      <c r="V1736" s="5"/>
      <c r="W1736" s="5"/>
      <c r="X1736" s="5"/>
      <c r="Y1736" s="5"/>
      <c r="Z1736" s="5"/>
    </row>
    <row r="1737" spans="1:26" ht="15.6" x14ac:dyDescent="0.3">
      <c r="A1737" s="18" t="s">
        <v>23</v>
      </c>
      <c r="B1737" s="25" t="s">
        <v>1738</v>
      </c>
      <c r="C1737" s="2" t="str">
        <f ca="1">IFERROR(__xludf.DUMMYFUNCTION("GOOGLETRANSLATE(B1737, ""bn"", ""en"")"),"A divisive mindset is reflected by providing religious controversial status. Everyone is abusing and arguing about these statuses, nothing else...")</f>
        <v>A divisive mindset is reflected by providing religious controversial status. Everyone is abusing and arguing about these statuses, nothing else...</v>
      </c>
      <c r="D1737" s="5"/>
      <c r="E1737" s="5"/>
      <c r="F1737" s="5"/>
      <c r="G1737" s="5"/>
      <c r="H1737" s="5"/>
      <c r="I1737" s="5"/>
      <c r="J1737" s="5"/>
      <c r="K1737" s="5"/>
      <c r="L1737" s="5"/>
      <c r="M1737" s="5"/>
      <c r="N1737" s="5"/>
      <c r="O1737" s="5"/>
      <c r="P1737" s="5"/>
      <c r="Q1737" s="5"/>
      <c r="R1737" s="5"/>
      <c r="S1737" s="5"/>
      <c r="T1737" s="5"/>
      <c r="U1737" s="5"/>
      <c r="V1737" s="5"/>
      <c r="W1737" s="5"/>
      <c r="X1737" s="5"/>
      <c r="Y1737" s="5"/>
      <c r="Z1737" s="5"/>
    </row>
    <row r="1738" spans="1:26" ht="15.6" x14ac:dyDescent="0.3">
      <c r="A1738" s="19" t="s">
        <v>5</v>
      </c>
      <c r="B1738" s="26" t="s">
        <v>1739</v>
      </c>
      <c r="C1738" s="2" t="str">
        <f ca="1">IFERROR(__xludf.DUMMYFUNCTION("GOOGLETRANSLATE(B1738, ""bn"", ""en"")"),"Al Badr, Razakar and the Central Peace Committee set fires, looted and raped women in Bangladesh. After the massacre, the bodies were thrown into the well of the deserted house.")</f>
        <v>Al Badr, Razakar and the Central Peace Committee set fires, looted and raped women in Bangladesh. After the massacre, the bodies were thrown into the well of the deserted house.</v>
      </c>
      <c r="D1738" s="7"/>
      <c r="E1738" s="7"/>
      <c r="F1738" s="7"/>
      <c r="G1738" s="7"/>
      <c r="H1738" s="7"/>
      <c r="I1738" s="7"/>
      <c r="J1738" s="7"/>
      <c r="K1738" s="7"/>
      <c r="L1738" s="7"/>
      <c r="M1738" s="5"/>
      <c r="N1738" s="5"/>
      <c r="O1738" s="5"/>
      <c r="P1738" s="5"/>
      <c r="Q1738" s="5"/>
      <c r="R1738" s="5"/>
      <c r="S1738" s="5"/>
      <c r="T1738" s="5"/>
      <c r="U1738" s="5"/>
      <c r="V1738" s="5"/>
      <c r="W1738" s="5"/>
      <c r="X1738" s="5"/>
      <c r="Y1738" s="5"/>
      <c r="Z1738" s="5"/>
    </row>
    <row r="1739" spans="1:26" ht="15.6" x14ac:dyDescent="0.3">
      <c r="A1739" s="18" t="s">
        <v>8</v>
      </c>
      <c r="B1739" s="24" t="s">
        <v>1740</v>
      </c>
      <c r="C1739" s="2" t="str">
        <f ca="1">IFERROR(__xludf.DUMMYFUNCTION("GOOGLETRANSLATE(B1739, ""bn"", ""en"")"),"23 September 2023 Completely destroyed the inscription and the main idol in a Kali temple at Santhiya in Pabna.")</f>
        <v>23 September 2023 Completely destroyed the inscription and the main idol in a Kali temple at Santhiya in Pabna.</v>
      </c>
      <c r="D1739" s="5"/>
      <c r="E1739" s="5"/>
      <c r="F1739" s="5"/>
      <c r="G1739" s="5"/>
      <c r="H1739" s="5"/>
      <c r="I1739" s="5"/>
      <c r="J1739" s="5"/>
      <c r="K1739" s="5"/>
      <c r="L1739" s="5"/>
      <c r="M1739" s="5"/>
      <c r="N1739" s="5"/>
      <c r="O1739" s="5"/>
      <c r="P1739" s="5"/>
      <c r="Q1739" s="5"/>
      <c r="R1739" s="5"/>
      <c r="S1739" s="5"/>
      <c r="T1739" s="5"/>
      <c r="U1739" s="5"/>
      <c r="V1739" s="5"/>
      <c r="W1739" s="5"/>
      <c r="X1739" s="5"/>
      <c r="Y1739" s="5"/>
      <c r="Z1739" s="5"/>
    </row>
    <row r="1740" spans="1:26" ht="15.6" x14ac:dyDescent="0.3">
      <c r="A1740" s="19" t="s">
        <v>5</v>
      </c>
      <c r="B1740" s="26" t="s">
        <v>1741</v>
      </c>
      <c r="C1740" s="2" t="str">
        <f ca="1">IFERROR(__xludf.DUMMYFUNCTION("GOOGLETRANSLATE(B1740, ""bn"", ""en"")"),"Many people were killed and property destroyed in Hindu-Muslim clashes in Malegaon, Maharashtra.")</f>
        <v>Many people were killed and property destroyed in Hindu-Muslim clashes in Malegaon, Maharashtra.</v>
      </c>
      <c r="D1740" s="5"/>
      <c r="E1740" s="5"/>
      <c r="F1740" s="5"/>
      <c r="G1740" s="5"/>
      <c r="H1740" s="5"/>
      <c r="I1740" s="5"/>
      <c r="J1740" s="5"/>
      <c r="K1740" s="5"/>
      <c r="L1740" s="5"/>
      <c r="M1740" s="5"/>
      <c r="N1740" s="5"/>
      <c r="O1740" s="5"/>
      <c r="P1740" s="5"/>
      <c r="Q1740" s="5"/>
      <c r="R1740" s="5"/>
      <c r="S1740" s="5"/>
      <c r="T1740" s="5"/>
      <c r="U1740" s="5"/>
      <c r="V1740" s="5"/>
      <c r="W1740" s="5"/>
      <c r="X1740" s="5"/>
      <c r="Y1740" s="5"/>
      <c r="Z1740" s="5"/>
    </row>
    <row r="1741" spans="1:26" ht="15.6" x14ac:dyDescent="0.3">
      <c r="A1741" s="18" t="s">
        <v>3</v>
      </c>
      <c r="B1741" s="25" t="s">
        <v>1742</v>
      </c>
      <c r="C1741" s="2" t="str">
        <f ca="1">IFERROR(__xludf.DUMMYFUNCTION("GOOGLETRANSLATE(B1741, ""bn"", ""en"")"),"Allah Ta'ala said about the martyrs, And do not call those who are killed in the way of Allah dead, but they are alive; But you do not understand.")</f>
        <v>Allah Ta'ala said about the martyrs, And do not call those who are killed in the way of Allah dead, but they are alive; But you do not understand.</v>
      </c>
      <c r="D1741" s="2"/>
      <c r="E1741" s="2"/>
      <c r="F1741" s="2"/>
      <c r="G1741" s="2"/>
      <c r="H1741" s="3"/>
      <c r="I1741" s="3"/>
      <c r="J1741" s="3"/>
      <c r="K1741" s="3"/>
      <c r="L1741" s="3"/>
      <c r="M1741" s="3"/>
      <c r="N1741" s="3"/>
      <c r="O1741" s="3"/>
      <c r="P1741" s="3"/>
      <c r="Q1741" s="3"/>
      <c r="R1741" s="3"/>
      <c r="S1741" s="3"/>
      <c r="T1741" s="3"/>
      <c r="U1741" s="3"/>
      <c r="V1741" s="3"/>
      <c r="W1741" s="3"/>
      <c r="X1741" s="3"/>
      <c r="Y1741" s="3"/>
      <c r="Z1741" s="3"/>
    </row>
    <row r="1742" spans="1:26" ht="15.6" x14ac:dyDescent="0.3">
      <c r="A1742" s="18" t="s">
        <v>3</v>
      </c>
      <c r="B1742" s="25" t="s">
        <v>1743</v>
      </c>
      <c r="C1742" s="2" t="str">
        <f ca="1">IFERROR(__xludf.DUMMYFUNCTION("GOOGLETRANSLATE(B1742, ""bn"", ""en"")"),"Ahimsa or non-violence is given utmost importance in Hinduism, which helps to establish peace in the heart of every human being.")</f>
        <v>Ahimsa or non-violence is given utmost importance in Hinduism, which helps to establish peace in the heart of every human being.</v>
      </c>
      <c r="D1742" s="2"/>
      <c r="E1742" s="2"/>
      <c r="F1742" s="2"/>
      <c r="G1742" s="2"/>
      <c r="H1742" s="5"/>
      <c r="I1742" s="5"/>
      <c r="J1742" s="5"/>
      <c r="K1742" s="5"/>
      <c r="L1742" s="5"/>
      <c r="M1742" s="5"/>
      <c r="N1742" s="5"/>
      <c r="O1742" s="5"/>
      <c r="P1742" s="5"/>
      <c r="Q1742" s="5"/>
      <c r="R1742" s="5"/>
      <c r="S1742" s="5"/>
      <c r="T1742" s="5"/>
      <c r="U1742" s="5"/>
      <c r="V1742" s="5"/>
      <c r="W1742" s="5"/>
      <c r="X1742" s="5"/>
      <c r="Y1742" s="5"/>
      <c r="Z1742" s="5"/>
    </row>
    <row r="1743" spans="1:26" ht="15.6" x14ac:dyDescent="0.3">
      <c r="A1743" s="18" t="s">
        <v>23</v>
      </c>
      <c r="B1743" s="25" t="s">
        <v>1744</v>
      </c>
      <c r="C1743" s="2" t="str">
        <f ca="1">IFERROR(__xludf.DUMMYFUNCTION("GOOGLETRANSLATE(B1743, ""bn"", ""en"")"),"Calling a homegrown actor a Hindu, his caste started. The identity that hurts his heart, when he is called a Hindu is a problem, then why does he not leave his Hindu identity?")</f>
        <v>Calling a homegrown actor a Hindu, his caste started. The identity that hurts his heart, when he is called a Hindu is a problem, then why does he not leave his Hindu identity?</v>
      </c>
      <c r="D1743" s="6"/>
      <c r="E1743" s="6"/>
      <c r="F1743" s="2"/>
      <c r="G1743" s="2"/>
      <c r="H1743" s="3"/>
      <c r="I1743" s="3"/>
      <c r="J1743" s="3"/>
      <c r="K1743" s="3"/>
      <c r="L1743" s="3"/>
      <c r="M1743" s="3"/>
      <c r="N1743" s="3"/>
      <c r="O1743" s="3"/>
      <c r="P1743" s="3"/>
      <c r="Q1743" s="3"/>
      <c r="R1743" s="3"/>
      <c r="S1743" s="3"/>
      <c r="T1743" s="3"/>
      <c r="U1743" s="3"/>
      <c r="V1743" s="3"/>
      <c r="W1743" s="3"/>
      <c r="X1743" s="3"/>
      <c r="Y1743" s="3"/>
      <c r="Z1743" s="3"/>
    </row>
    <row r="1744" spans="1:26" ht="15.6" x14ac:dyDescent="0.3">
      <c r="A1744" s="18" t="s">
        <v>23</v>
      </c>
      <c r="B1744" s="25" t="s">
        <v>1745</v>
      </c>
      <c r="C1744" s="2" t="str">
        <f ca="1">IFERROR(__xludf.DUMMYFUNCTION("GOOGLETRANSLATE(B1744, ""bn"", ""en"")"),"All the Muslims have to pay for all the sins that Islam has committed.")</f>
        <v>All the Muslims have to pay for all the sins that Islam has committed.</v>
      </c>
      <c r="D1744" s="7"/>
      <c r="E1744" s="7"/>
      <c r="F1744" s="7"/>
      <c r="G1744" s="7"/>
      <c r="H1744" s="7"/>
      <c r="I1744" s="7"/>
      <c r="J1744" s="7"/>
      <c r="K1744" s="7"/>
      <c r="L1744" s="7"/>
      <c r="M1744" s="7"/>
      <c r="N1744" s="7"/>
      <c r="O1744" s="7"/>
      <c r="P1744" s="7"/>
      <c r="Q1744" s="7"/>
      <c r="R1744" s="7"/>
      <c r="S1744" s="7"/>
      <c r="T1744" s="7"/>
      <c r="U1744" s="7"/>
      <c r="V1744" s="7"/>
      <c r="W1744" s="7"/>
      <c r="X1744" s="7"/>
      <c r="Y1744" s="7"/>
      <c r="Z1744" s="7"/>
    </row>
    <row r="1745" spans="1:26" ht="15.6" x14ac:dyDescent="0.3">
      <c r="A1745" s="19" t="s">
        <v>5</v>
      </c>
      <c r="B1745" s="26" t="s">
        <v>1746</v>
      </c>
      <c r="C1745" s="2" t="str">
        <f ca="1">IFERROR(__xludf.DUMMYFUNCTION("GOOGLETRANSLATE(B1745, ""bn"", ""en"")"),"After leaving the position, Khalid bin Walid attacked the Muslims, killing many Muslims.")</f>
        <v>After leaving the position, Khalid bin Walid attacked the Muslims, killing many Muslims.</v>
      </c>
      <c r="D1745" s="7"/>
      <c r="E1745" s="7"/>
      <c r="F1745" s="7"/>
      <c r="G1745" s="7"/>
      <c r="H1745" s="5"/>
      <c r="I1745" s="5"/>
      <c r="J1745" s="5"/>
      <c r="K1745" s="5"/>
      <c r="L1745" s="5"/>
      <c r="M1745" s="5"/>
      <c r="N1745" s="5"/>
      <c r="O1745" s="5"/>
      <c r="P1745" s="5"/>
      <c r="Q1745" s="5"/>
      <c r="R1745" s="5"/>
      <c r="S1745" s="5"/>
      <c r="T1745" s="5"/>
      <c r="U1745" s="5"/>
      <c r="V1745" s="5"/>
      <c r="W1745" s="5"/>
      <c r="X1745" s="5"/>
      <c r="Y1745" s="5"/>
      <c r="Z1745" s="5"/>
    </row>
    <row r="1746" spans="1:26" ht="15.6" x14ac:dyDescent="0.3">
      <c r="A1746" s="18" t="s">
        <v>5</v>
      </c>
      <c r="B1746" s="25" t="s">
        <v>1747</v>
      </c>
      <c r="C1746" s="2" t="str">
        <f ca="1">IFERROR(__xludf.DUMMYFUNCTION("GOOGLETRANSLATE(B1746, ""bn"", ""en"")"),"Defeated the Sindhi army and massacred the Hindus and turned them into slaves. Later the Hajjaz invaded kingdoms ruled by other Hindu and Buddhist kings,")</f>
        <v>Defeated the Sindhi army and massacred the Hindus and turned them into slaves. Later the Hajjaz invaded kingdoms ruled by other Hindu and Buddhist kings,</v>
      </c>
      <c r="D1746" s="5"/>
      <c r="E1746" s="5"/>
      <c r="F1746" s="5"/>
      <c r="G1746" s="5"/>
      <c r="H1746" s="5"/>
      <c r="I1746" s="5"/>
      <c r="J1746" s="5"/>
      <c r="K1746" s="5"/>
      <c r="L1746" s="5"/>
      <c r="M1746" s="5"/>
      <c r="N1746" s="5"/>
      <c r="O1746" s="5"/>
      <c r="P1746" s="5"/>
      <c r="Q1746" s="5"/>
      <c r="R1746" s="5"/>
      <c r="S1746" s="5"/>
      <c r="T1746" s="5"/>
      <c r="U1746" s="5"/>
      <c r="V1746" s="5"/>
      <c r="W1746" s="5"/>
      <c r="X1746" s="5"/>
      <c r="Y1746" s="5"/>
      <c r="Z1746" s="5"/>
    </row>
    <row r="1747" spans="1:26" ht="15.6" x14ac:dyDescent="0.3">
      <c r="A1747" s="18" t="s">
        <v>23</v>
      </c>
      <c r="B1747" s="25" t="s">
        <v>1748</v>
      </c>
      <c r="C1747" s="2" t="str">
        <f ca="1">IFERROR(__xludf.DUMMYFUNCTION("GOOGLETRANSLATE(B1747, ""bn"", ""en"")"),"Conversion of Mahabodhi Vihara at Bodh Gaya and Buddha Stupa at Kushinagar into temples is religious insult and insult to faith.")</f>
        <v>Conversion of Mahabodhi Vihara at Bodh Gaya and Buddha Stupa at Kushinagar into temples is religious insult and insult to faith.</v>
      </c>
      <c r="D1747" s="2"/>
      <c r="E1747" s="2"/>
      <c r="F1747" s="2"/>
      <c r="G1747" s="2"/>
      <c r="H1747" s="3"/>
      <c r="I1747" s="3"/>
      <c r="J1747" s="3"/>
      <c r="K1747" s="3"/>
      <c r="L1747" s="3"/>
      <c r="M1747" s="3"/>
      <c r="N1747" s="3"/>
      <c r="O1747" s="3"/>
      <c r="P1747" s="3"/>
      <c r="Q1747" s="3"/>
      <c r="R1747" s="3"/>
      <c r="S1747" s="3"/>
      <c r="T1747" s="3"/>
      <c r="U1747" s="3"/>
      <c r="V1747" s="3"/>
      <c r="W1747" s="3"/>
      <c r="X1747" s="3"/>
      <c r="Y1747" s="3"/>
      <c r="Z1747" s="3"/>
    </row>
    <row r="1748" spans="1:26" ht="15.6" x14ac:dyDescent="0.3">
      <c r="A1748" s="19" t="s">
        <v>3</v>
      </c>
      <c r="B1748" s="26" t="s">
        <v>1749</v>
      </c>
      <c r="C1748" s="2" t="str">
        <f ca="1">IFERROR(__xludf.DUMMYFUNCTION("GOOGLETRANSLATE(B1748, ""bn"", ""en"")"),"A few fake ID negative comments have caused chaos in the Saku community, although mostly positive comments have been overwhelming.")</f>
        <v>A few fake ID negative comments have caused chaos in the Saku community, although mostly positive comments have been overwhelming.</v>
      </c>
      <c r="D1748" s="7"/>
      <c r="E1748" s="7"/>
      <c r="F1748" s="7"/>
      <c r="G1748" s="7"/>
      <c r="H1748" s="5"/>
      <c r="I1748" s="5"/>
      <c r="J1748" s="5"/>
      <c r="K1748" s="5"/>
      <c r="L1748" s="5"/>
      <c r="M1748" s="5"/>
      <c r="N1748" s="5"/>
      <c r="O1748" s="5"/>
      <c r="P1748" s="5"/>
      <c r="Q1748" s="5"/>
      <c r="R1748" s="5"/>
      <c r="S1748" s="5"/>
      <c r="T1748" s="5"/>
      <c r="U1748" s="5"/>
      <c r="V1748" s="5"/>
      <c r="W1748" s="5"/>
      <c r="X1748" s="5"/>
      <c r="Y1748" s="5"/>
      <c r="Z1748" s="5"/>
    </row>
    <row r="1749" spans="1:26" ht="15.6" x14ac:dyDescent="0.3">
      <c r="A1749" s="18" t="s">
        <v>3</v>
      </c>
      <c r="B1749" s="25" t="s">
        <v>1750</v>
      </c>
      <c r="C1749" s="2" t="str">
        <f ca="1">IFERROR(__xludf.DUMMYFUNCTION("GOOGLETRANSLATE(B1749, ""bn"", ""en"")"),"Many old Buddhist monasteries still exist in Bengal. Buddhists were the first to compose some religious songs in Bengali known as 'Charyapad'.")</f>
        <v>Many old Buddhist monasteries still exist in Bengal. Buddhists were the first to compose some religious songs in Bengali known as 'Charyapad'.</v>
      </c>
      <c r="D1749" s="5"/>
      <c r="E1749" s="5"/>
      <c r="F1749" s="5"/>
      <c r="G1749" s="5"/>
      <c r="H1749" s="5"/>
      <c r="I1749" s="5"/>
      <c r="J1749" s="5"/>
      <c r="K1749" s="5"/>
      <c r="L1749" s="5"/>
      <c r="M1749" s="5"/>
      <c r="N1749" s="5"/>
      <c r="O1749" s="5"/>
      <c r="P1749" s="5"/>
      <c r="Q1749" s="5"/>
      <c r="R1749" s="5"/>
      <c r="S1749" s="5"/>
      <c r="T1749" s="5"/>
      <c r="U1749" s="5"/>
      <c r="V1749" s="5"/>
      <c r="W1749" s="5"/>
      <c r="X1749" s="5"/>
      <c r="Y1749" s="5"/>
      <c r="Z1749" s="5"/>
    </row>
    <row r="1750" spans="1:26" ht="15.6" x14ac:dyDescent="0.3">
      <c r="A1750" s="19" t="s">
        <v>5</v>
      </c>
      <c r="B1750" s="26" t="s">
        <v>1751</v>
      </c>
      <c r="C1750" s="2" t="str">
        <f ca="1">IFERROR(__xludf.DUMMYFUNCTION("GOOGLETRANSLATE(B1750, ""bn"", ""en"")"),"60+ killed and thousands displaced in Hindu-Muslim clashes in Bangladesh's Muzaffarnagar area.")</f>
        <v>60+ killed and thousands displaced in Hindu-Muslim clashes in Bangladesh's Muzaffarnagar area.</v>
      </c>
      <c r="D1750" s="7"/>
      <c r="E1750" s="7"/>
      <c r="F1750" s="7"/>
      <c r="G1750" s="7"/>
      <c r="H1750" s="5"/>
      <c r="I1750" s="5"/>
      <c r="J1750" s="5"/>
      <c r="K1750" s="5"/>
      <c r="L1750" s="5"/>
      <c r="M1750" s="5"/>
      <c r="N1750" s="5"/>
      <c r="O1750" s="5"/>
      <c r="P1750" s="5"/>
      <c r="Q1750" s="5"/>
      <c r="R1750" s="5"/>
      <c r="S1750" s="5"/>
      <c r="T1750" s="5"/>
      <c r="U1750" s="5"/>
      <c r="V1750" s="5"/>
      <c r="W1750" s="5"/>
      <c r="X1750" s="5"/>
      <c r="Y1750" s="5"/>
      <c r="Z1750" s="5"/>
    </row>
    <row r="1751" spans="1:26" ht="15.6" x14ac:dyDescent="0.3">
      <c r="A1751" s="18" t="s">
        <v>3</v>
      </c>
      <c r="B1751" s="25" t="s">
        <v>1752</v>
      </c>
      <c r="C1751" s="2" t="str">
        <f ca="1">IFERROR(__xludf.DUMMYFUNCTION("GOOGLETRANSLATE(B1751, ""bn"", ""en"")"),"The core teaching of Christianity is to serve humanity through love, kindness and compassion, where they believe that God's love is what gives the world the power to create compassion and love for one another.")</f>
        <v>The core teaching of Christianity is to serve humanity through love, kindness and compassion, where they believe that God's love is what gives the world the power to create compassion and love for one another.</v>
      </c>
      <c r="D1751" s="5"/>
      <c r="E1751" s="5"/>
      <c r="F1751" s="5"/>
      <c r="G1751" s="5"/>
      <c r="H1751" s="5"/>
      <c r="I1751" s="5"/>
      <c r="J1751" s="5"/>
      <c r="K1751" s="5"/>
      <c r="L1751" s="5"/>
      <c r="M1751" s="5"/>
      <c r="N1751" s="5"/>
      <c r="O1751" s="5"/>
      <c r="P1751" s="5"/>
      <c r="Q1751" s="5"/>
      <c r="R1751" s="5"/>
      <c r="S1751" s="5"/>
      <c r="T1751" s="5"/>
      <c r="U1751" s="5"/>
      <c r="V1751" s="5"/>
      <c r="W1751" s="5"/>
      <c r="X1751" s="5"/>
      <c r="Y1751" s="5"/>
      <c r="Z1751" s="5"/>
    </row>
    <row r="1752" spans="1:26" ht="15.6" x14ac:dyDescent="0.3">
      <c r="A1752" s="18" t="s">
        <v>8</v>
      </c>
      <c r="B1752" s="24" t="s">
        <v>1753</v>
      </c>
      <c r="C1752" s="2" t="str">
        <f ca="1">IFERROR(__xludf.DUMMYFUNCTION("GOOGLETRANSLATE(B1752, ""bn"", ""en"")"),"On July 11, 2023, a Kali temple in Porsha, Naogaon was attacked in the early hours and the eyes of the idol were removed and thrown away.")</f>
        <v>On July 11, 2023, a Kali temple in Porsha, Naogaon was attacked in the early hours and the eyes of the idol were removed and thrown away.</v>
      </c>
      <c r="D1752" s="5"/>
      <c r="E1752" s="5"/>
      <c r="F1752" s="5"/>
      <c r="G1752" s="5"/>
      <c r="H1752" s="5"/>
      <c r="I1752" s="5"/>
      <c r="J1752" s="5"/>
      <c r="K1752" s="5"/>
      <c r="L1752" s="5"/>
      <c r="M1752" s="5"/>
      <c r="N1752" s="5"/>
      <c r="O1752" s="5"/>
      <c r="P1752" s="5"/>
      <c r="Q1752" s="5"/>
      <c r="R1752" s="5"/>
      <c r="S1752" s="5"/>
      <c r="T1752" s="5"/>
      <c r="U1752" s="5"/>
      <c r="V1752" s="5"/>
      <c r="W1752" s="5"/>
      <c r="X1752" s="5"/>
      <c r="Y1752" s="5"/>
      <c r="Z1752" s="5"/>
    </row>
    <row r="1753" spans="1:26" ht="15.6" x14ac:dyDescent="0.3">
      <c r="A1753" s="18" t="s">
        <v>8</v>
      </c>
      <c r="B1753" s="25" t="s">
        <v>1754</v>
      </c>
      <c r="C1753" s="2" t="str">
        <f ca="1">IFERROR(__xludf.DUMMYFUNCTION("GOOGLETRANSLATE(B1753, ""bn"", ""en"")"),"Incidents of vandalism also occur in religious places. The National Human Rights Commission of Bangladesh has said that religious minorities are being attacked in a well-planned manner to grab land.")</f>
        <v>Incidents of vandalism also occur in religious places. The National Human Rights Commission of Bangladesh has said that religious minorities are being attacked in a well-planned manner to grab land.</v>
      </c>
      <c r="D1753" s="5"/>
      <c r="E1753" s="5"/>
      <c r="F1753" s="5"/>
      <c r="G1753" s="5"/>
      <c r="H1753" s="5"/>
      <c r="I1753" s="5"/>
      <c r="J1753" s="5"/>
      <c r="K1753" s="5"/>
      <c r="L1753" s="5"/>
      <c r="M1753" s="5"/>
      <c r="N1753" s="5"/>
      <c r="O1753" s="5"/>
      <c r="P1753" s="5"/>
      <c r="Q1753" s="5"/>
      <c r="R1753" s="5"/>
      <c r="S1753" s="5"/>
      <c r="T1753" s="5"/>
      <c r="U1753" s="5"/>
      <c r="V1753" s="5"/>
      <c r="W1753" s="5"/>
      <c r="X1753" s="5"/>
      <c r="Y1753" s="5"/>
      <c r="Z1753" s="5"/>
    </row>
    <row r="1754" spans="1:26" ht="15.6" x14ac:dyDescent="0.3">
      <c r="A1754" s="19" t="s">
        <v>5</v>
      </c>
      <c r="B1754" s="26" t="s">
        <v>1755</v>
      </c>
      <c r="C1754" s="2" t="str">
        <f ca="1">IFERROR(__xludf.DUMMYFUNCTION("GOOGLETRANSLATE(B1754, ""bn"", ""en"")"),"25 people, including 12 policemen, were injured in a clash between the police and the angry crowd over a Facebook post in Chitalmari.")</f>
        <v>25 people, including 12 policemen, were injured in a clash between the police and the angry crowd over a Facebook post in Chitalmari.</v>
      </c>
      <c r="D1754" s="7"/>
      <c r="E1754" s="7"/>
      <c r="F1754" s="7"/>
      <c r="G1754" s="5"/>
      <c r="H1754" s="5"/>
      <c r="I1754" s="5"/>
      <c r="J1754" s="5"/>
      <c r="K1754" s="5"/>
      <c r="L1754" s="5"/>
      <c r="M1754" s="5"/>
      <c r="N1754" s="5"/>
      <c r="O1754" s="5"/>
      <c r="P1754" s="5"/>
      <c r="Q1754" s="5"/>
      <c r="R1754" s="5"/>
      <c r="S1754" s="5"/>
      <c r="T1754" s="5"/>
      <c r="U1754" s="5"/>
      <c r="V1754" s="5"/>
      <c r="W1754" s="5"/>
      <c r="X1754" s="5"/>
      <c r="Y1754" s="5"/>
      <c r="Z1754" s="5"/>
    </row>
    <row r="1755" spans="1:26" ht="15.6" x14ac:dyDescent="0.3">
      <c r="A1755" s="19" t="s">
        <v>3</v>
      </c>
      <c r="B1755" s="26" t="s">
        <v>1756</v>
      </c>
      <c r="C1755" s="2" t="str">
        <f ca="1">IFERROR(__xludf.DUMMYFUNCTION("GOOGLETRANSLATE(B1755, ""bn"", ""en"")"),"Panchmishali was a renegade among friends, who decided to convert to Christianity.")</f>
        <v>Panchmishali was a renegade among friends, who decided to convert to Christianity.</v>
      </c>
      <c r="D1755" s="7"/>
      <c r="E1755" s="7"/>
      <c r="F1755" s="7"/>
      <c r="G1755" s="5"/>
      <c r="H1755" s="5"/>
      <c r="I1755" s="5"/>
      <c r="J1755" s="5"/>
      <c r="K1755" s="5"/>
      <c r="L1755" s="5"/>
      <c r="M1755" s="5"/>
      <c r="N1755" s="5"/>
      <c r="O1755" s="5"/>
      <c r="P1755" s="5"/>
      <c r="Q1755" s="5"/>
      <c r="R1755" s="5"/>
      <c r="S1755" s="5"/>
      <c r="T1755" s="5"/>
      <c r="U1755" s="5"/>
      <c r="V1755" s="5"/>
      <c r="W1755" s="5"/>
      <c r="X1755" s="5"/>
      <c r="Y1755" s="5"/>
      <c r="Z1755" s="5"/>
    </row>
    <row r="1756" spans="1:26" ht="15.6" x14ac:dyDescent="0.3">
      <c r="A1756" s="18" t="s">
        <v>8</v>
      </c>
      <c r="B1756" s="25" t="s">
        <v>1757</v>
      </c>
      <c r="C1756" s="2" t="str">
        <f ca="1">IFERROR(__xludf.DUMMYFUNCTION("GOOGLETRANSLATE(B1756, ""bn"", ""en"")"),"There are many discussions about the attacks and vandalism of houses and places of worship of Sanatan religious people in Muradnagar of Comilla near Dhaka.")</f>
        <v>There are many discussions about the attacks and vandalism of houses and places of worship of Sanatan religious people in Muradnagar of Comilla near Dhaka.</v>
      </c>
      <c r="D1756" s="5"/>
      <c r="E1756" s="5"/>
      <c r="F1756" s="5"/>
      <c r="G1756" s="5"/>
      <c r="H1756" s="5"/>
      <c r="I1756" s="5"/>
      <c r="J1756" s="5"/>
      <c r="K1756" s="5"/>
      <c r="L1756" s="5"/>
      <c r="M1756" s="5"/>
      <c r="N1756" s="5"/>
      <c r="O1756" s="5"/>
      <c r="P1756" s="5"/>
      <c r="Q1756" s="5"/>
      <c r="R1756" s="5"/>
      <c r="S1756" s="5"/>
      <c r="T1756" s="5"/>
      <c r="U1756" s="5"/>
      <c r="V1756" s="5"/>
      <c r="W1756" s="5"/>
      <c r="X1756" s="5"/>
      <c r="Y1756" s="5"/>
      <c r="Z1756" s="5"/>
    </row>
    <row r="1757" spans="1:26" ht="15.6" x14ac:dyDescent="0.3">
      <c r="A1757" s="18" t="s">
        <v>5</v>
      </c>
      <c r="B1757" s="25" t="s">
        <v>1758</v>
      </c>
      <c r="C1757" s="2" t="str">
        <f ca="1">IFERROR(__xludf.DUMMYFUNCTION("GOOGLETRANSLATE(B1757, ""bn"", ""en"")"),"Professor Richard Novak, who had come to collect photographs of horrific massacres, rapes, abductions, tortures and looting by Muslims on Hindus in Narayanganj, was killed near Adarsh ​​Cotton Mill.")</f>
        <v>Professor Richard Novak, who had come to collect photographs of horrific massacres, rapes, abductions, tortures and looting by Muslims on Hindus in Narayanganj, was killed near Adarsh ​​Cotton Mill.</v>
      </c>
      <c r="D1757" s="2"/>
      <c r="E1757" s="2"/>
      <c r="F1757" s="2"/>
      <c r="G1757" s="2"/>
      <c r="H1757" s="3"/>
      <c r="I1757" s="3"/>
      <c r="J1757" s="3"/>
      <c r="K1757" s="3"/>
      <c r="L1757" s="3"/>
      <c r="M1757" s="3"/>
      <c r="N1757" s="3"/>
      <c r="O1757" s="3"/>
      <c r="P1757" s="3"/>
      <c r="Q1757" s="3"/>
      <c r="R1757" s="3"/>
      <c r="S1757" s="3"/>
      <c r="T1757" s="3"/>
      <c r="U1757" s="3"/>
      <c r="V1757" s="3"/>
      <c r="W1757" s="3"/>
      <c r="X1757" s="3"/>
      <c r="Y1757" s="3"/>
      <c r="Z1757" s="3"/>
    </row>
    <row r="1758" spans="1:26" ht="15.6" x14ac:dyDescent="0.3">
      <c r="A1758" s="19" t="s">
        <v>3</v>
      </c>
      <c r="B1758" s="26" t="s">
        <v>1759</v>
      </c>
      <c r="C1758" s="2" t="str">
        <f ca="1">IFERROR(__xludf.DUMMYFUNCTION("GOOGLETRANSLATE(B1758, ""bn"", ""en"")"),"Islam is true religion, read about Islam to understand it, gain knowledge. Read the books of your religion, pray to get the light of the right religion, InshaAllah Allah Rabbul Alamin will guide you.")</f>
        <v>Islam is true religion, read about Islam to understand it, gain knowledge. Read the books of your religion, pray to get the light of the right religion, InshaAllah Allah Rabbul Alamin will guide you.</v>
      </c>
      <c r="D1758" s="5"/>
      <c r="E1758" s="5"/>
      <c r="F1758" s="5"/>
      <c r="G1758" s="5"/>
      <c r="H1758" s="5"/>
      <c r="I1758" s="5"/>
      <c r="J1758" s="5"/>
      <c r="K1758" s="5"/>
      <c r="L1758" s="5"/>
      <c r="M1758" s="5"/>
      <c r="N1758" s="5"/>
      <c r="O1758" s="5"/>
      <c r="P1758" s="5"/>
      <c r="Q1758" s="5"/>
      <c r="R1758" s="5"/>
      <c r="S1758" s="5"/>
      <c r="T1758" s="5"/>
      <c r="U1758" s="5"/>
      <c r="V1758" s="5"/>
      <c r="W1758" s="5"/>
      <c r="X1758" s="5"/>
      <c r="Y1758" s="5"/>
      <c r="Z1758" s="5"/>
    </row>
    <row r="1759" spans="1:26" ht="15.6" x14ac:dyDescent="0.3">
      <c r="A1759" s="18" t="s">
        <v>5</v>
      </c>
      <c r="B1759" s="24" t="s">
        <v>1760</v>
      </c>
      <c r="C1759" s="2" t="str">
        <f ca="1">IFERROR(__xludf.DUMMYFUNCTION("GOOGLETRANSLATE(B1759, ""bn"", ""en"")"),"Minorities are left untreated in hospitals for religious reasons; 48 people died in it.")</f>
        <v>Minorities are left untreated in hospitals for religious reasons; 48 people died in it.</v>
      </c>
      <c r="D1759" s="5"/>
      <c r="E1759" s="5"/>
      <c r="F1759" s="5"/>
      <c r="G1759" s="5"/>
      <c r="H1759" s="5"/>
      <c r="I1759" s="5"/>
      <c r="J1759" s="5"/>
      <c r="K1759" s="5"/>
      <c r="L1759" s="5"/>
      <c r="M1759" s="5"/>
      <c r="N1759" s="5"/>
      <c r="O1759" s="5"/>
      <c r="P1759" s="5"/>
      <c r="Q1759" s="5"/>
      <c r="R1759" s="5"/>
      <c r="S1759" s="5"/>
      <c r="T1759" s="5"/>
      <c r="U1759" s="5"/>
      <c r="V1759" s="5"/>
      <c r="W1759" s="5"/>
      <c r="X1759" s="5"/>
      <c r="Y1759" s="5"/>
      <c r="Z1759" s="5"/>
    </row>
    <row r="1760" spans="1:26" ht="15.6" x14ac:dyDescent="0.3">
      <c r="A1760" s="18" t="s">
        <v>23</v>
      </c>
      <c r="B1760" s="25" t="s">
        <v>1761</v>
      </c>
      <c r="C1760" s="2" t="str">
        <f ca="1">IFERROR(__xludf.DUMMYFUNCTION("GOOGLETRANSLATE(B1760, ""bn"", ""en"")"),"Where a group of stupid Muslims comment ""Accept Islam, the religion of peace"", another group of Muslims will say ""Why did so-and-so grow a beard, why did Tamuk wear a burka?""")</f>
        <v>Where a group of stupid Muslims comment "Accept Islam, the religion of peace", another group of Muslims will say "Why did so-and-so grow a beard, why did Tamuk wear a burka?"</v>
      </c>
      <c r="D1760" s="5"/>
      <c r="E1760" s="5"/>
      <c r="F1760" s="5"/>
      <c r="G1760" s="5"/>
      <c r="H1760" s="5"/>
      <c r="I1760" s="5"/>
      <c r="J1760" s="5"/>
      <c r="K1760" s="5"/>
      <c r="L1760" s="5"/>
      <c r="M1760" s="5"/>
      <c r="N1760" s="5"/>
      <c r="O1760" s="5"/>
      <c r="P1760" s="5"/>
      <c r="Q1760" s="5"/>
      <c r="R1760" s="5"/>
      <c r="S1760" s="5"/>
      <c r="T1760" s="5"/>
      <c r="U1760" s="5"/>
      <c r="V1760" s="5"/>
      <c r="W1760" s="5"/>
      <c r="X1760" s="5"/>
      <c r="Y1760" s="5"/>
      <c r="Z1760" s="5"/>
    </row>
    <row r="1761" spans="1:26" ht="15.6" x14ac:dyDescent="0.3">
      <c r="A1761" s="18" t="s">
        <v>23</v>
      </c>
      <c r="B1761" s="25" t="s">
        <v>1762</v>
      </c>
      <c r="C1761" s="2" t="str">
        <f ca="1">IFERROR(__xludf.DUMMYFUNCTION("GOOGLETRANSLATE(B1761, ""bn"", ""en"")"),"The events you are talking about to hurt the religious sentiments of Muslims, have any Hindus actually committed them? But there is doubt about it.")</f>
        <v>The events you are talking about to hurt the religious sentiments of Muslims, have any Hindus actually committed them? But there is doubt about it.</v>
      </c>
      <c r="D1761" s="2"/>
      <c r="E1761" s="2"/>
      <c r="F1761" s="2"/>
      <c r="G1761" s="2"/>
      <c r="H1761" s="3"/>
      <c r="I1761" s="3"/>
      <c r="J1761" s="3"/>
      <c r="K1761" s="3"/>
      <c r="L1761" s="3"/>
      <c r="M1761" s="3"/>
      <c r="N1761" s="3"/>
      <c r="O1761" s="3"/>
      <c r="P1761" s="3"/>
      <c r="Q1761" s="3"/>
      <c r="R1761" s="3"/>
      <c r="S1761" s="3"/>
      <c r="T1761" s="3"/>
      <c r="U1761" s="3"/>
      <c r="V1761" s="3"/>
      <c r="W1761" s="3"/>
      <c r="X1761" s="3"/>
      <c r="Y1761" s="3"/>
      <c r="Z1761" s="3"/>
    </row>
    <row r="1762" spans="1:26" ht="15.6" x14ac:dyDescent="0.3">
      <c r="A1762" s="19" t="s">
        <v>5</v>
      </c>
      <c r="B1762" s="26" t="s">
        <v>1763</v>
      </c>
      <c r="C1762" s="2" t="str">
        <f ca="1">IFERROR(__xludf.DUMMYFUNCTION("GOOGLETRANSLATE(B1762, ""bn"", ""en"")"),"During Islamic rule, 60 Hindus were reported killed and 138 injured. Most of the violence during this period was communal violence.")</f>
        <v>During Islamic rule, 60 Hindus were reported killed and 138 injured. Most of the violence during this period was communal violence.</v>
      </c>
      <c r="D1762" s="5"/>
      <c r="E1762" s="5"/>
      <c r="F1762" s="5"/>
      <c r="G1762" s="5"/>
      <c r="H1762" s="5"/>
      <c r="I1762" s="5"/>
      <c r="J1762" s="5"/>
      <c r="K1762" s="5"/>
      <c r="L1762" s="5"/>
      <c r="M1762" s="5"/>
      <c r="N1762" s="5"/>
      <c r="O1762" s="5"/>
      <c r="P1762" s="5"/>
      <c r="Q1762" s="5"/>
      <c r="R1762" s="5"/>
      <c r="S1762" s="5"/>
      <c r="T1762" s="5"/>
      <c r="U1762" s="5"/>
      <c r="V1762" s="5"/>
      <c r="W1762" s="5"/>
      <c r="X1762" s="5"/>
      <c r="Y1762" s="5"/>
      <c r="Z1762" s="5"/>
    </row>
    <row r="1763" spans="1:26" ht="15.6" x14ac:dyDescent="0.3">
      <c r="A1763" s="18" t="s">
        <v>8</v>
      </c>
      <c r="B1763" s="25" t="s">
        <v>1764</v>
      </c>
      <c r="C1763" s="2" t="str">
        <f ca="1">IFERROR(__xludf.DUMMYFUNCTION("GOOGLETRANSLATE(B1763, ""bn"", ""en"")"),"On August 21, 13 people were injured in the attack and beating of the opponents when the Hindu community occupied the Lashkar Union in Khulna's Paikgacha.")</f>
        <v>On August 21, 13 people were injured in the attack and beating of the opponents when the Hindu community occupied the Lashkar Union in Khulna's Paikgacha.</v>
      </c>
      <c r="D1763" s="5"/>
      <c r="E1763" s="5"/>
      <c r="F1763" s="5"/>
      <c r="G1763" s="5"/>
      <c r="H1763" s="5"/>
      <c r="I1763" s="5"/>
      <c r="J1763" s="5"/>
      <c r="K1763" s="5"/>
      <c r="L1763" s="5"/>
      <c r="M1763" s="5"/>
      <c r="N1763" s="5"/>
      <c r="O1763" s="5"/>
      <c r="P1763" s="5"/>
      <c r="Q1763" s="5"/>
      <c r="R1763" s="5"/>
      <c r="S1763" s="5"/>
      <c r="T1763" s="5"/>
      <c r="U1763" s="5"/>
      <c r="V1763" s="5"/>
      <c r="W1763" s="5"/>
      <c r="X1763" s="5"/>
      <c r="Y1763" s="5"/>
      <c r="Z1763" s="5"/>
    </row>
    <row r="1764" spans="1:26" ht="15.6" x14ac:dyDescent="0.3">
      <c r="A1764" s="19" t="s">
        <v>5</v>
      </c>
      <c r="B1764" s="26" t="s">
        <v>1765</v>
      </c>
      <c r="C1764" s="2" t="str">
        <f ca="1">IFERROR(__xludf.DUMMYFUNCTION("GOOGLETRANSLATE(B1764, ""bn"", ""en"")"),"A bomb attack was carried out at Hosseini Dalan in Old Dhaka during preparations for the Shia community's Tazia procession, killing several people.")</f>
        <v>A bomb attack was carried out at Hosseini Dalan in Old Dhaka during preparations for the Shia community's Tazia procession, killing several people.</v>
      </c>
      <c r="D1764" s="5"/>
      <c r="E1764" s="5"/>
      <c r="F1764" s="5"/>
      <c r="G1764" s="5"/>
      <c r="H1764" s="5"/>
      <c r="I1764" s="5"/>
      <c r="J1764" s="5"/>
      <c r="K1764" s="5"/>
      <c r="L1764" s="5"/>
      <c r="M1764" s="5"/>
      <c r="N1764" s="5"/>
      <c r="O1764" s="5"/>
      <c r="P1764" s="5"/>
      <c r="Q1764" s="5"/>
      <c r="R1764" s="5"/>
      <c r="S1764" s="5"/>
      <c r="T1764" s="5"/>
      <c r="U1764" s="5"/>
      <c r="V1764" s="5"/>
      <c r="W1764" s="5"/>
      <c r="X1764" s="5"/>
      <c r="Y1764" s="5"/>
      <c r="Z1764" s="5"/>
    </row>
    <row r="1765" spans="1:26" ht="15.6" x14ac:dyDescent="0.3">
      <c r="A1765" s="18" t="s">
        <v>3</v>
      </c>
      <c r="B1765" s="25" t="s">
        <v>1766</v>
      </c>
      <c r="C1765" s="2" t="str">
        <f ca="1">IFERROR(__xludf.DUMMYFUNCTION("GOOGLETRANSLATE(B1765, ""bn"", ""en"")"),"It is common practice in many cities to pray for the dead and seek forgiveness during the night of Barat. A hadith mentions that the Prophet Muhammad (pbuh) visited the Baki' graveyard and prayed for the Muslims buried there.")</f>
        <v>It is common practice in many cities to pray for the dead and seek forgiveness during the night of Barat. A hadith mentions that the Prophet Muhammad (pbuh) visited the Baki' graveyard and prayed for the Muslims buried there.</v>
      </c>
      <c r="D1765" s="2"/>
      <c r="E1765" s="2"/>
      <c r="F1765" s="2"/>
      <c r="G1765" s="2"/>
      <c r="H1765" s="3"/>
      <c r="I1765" s="3"/>
      <c r="J1765" s="3"/>
      <c r="K1765" s="3"/>
      <c r="L1765" s="3"/>
      <c r="M1765" s="3"/>
      <c r="N1765" s="3"/>
      <c r="O1765" s="3"/>
      <c r="P1765" s="3"/>
      <c r="Q1765" s="3"/>
      <c r="R1765" s="3"/>
      <c r="S1765" s="3"/>
      <c r="T1765" s="3"/>
      <c r="U1765" s="3"/>
      <c r="V1765" s="3"/>
      <c r="W1765" s="3"/>
      <c r="X1765" s="3"/>
      <c r="Y1765" s="3"/>
      <c r="Z1765" s="3"/>
    </row>
    <row r="1766" spans="1:26" ht="15.6" x14ac:dyDescent="0.3">
      <c r="A1766" s="18" t="s">
        <v>23</v>
      </c>
      <c r="B1766" s="24" t="s">
        <v>704</v>
      </c>
      <c r="C1766" s="2" t="str">
        <f ca="1">IFERROR(__xludf.DUMMYFUNCTION("GOOGLETRANSLATE(B1766, ""bn"", ""en"")"),"Muslim extremists consider their religion superior to other religions and despise others.")</f>
        <v>Muslim extremists consider their religion superior to other religions and despise others.</v>
      </c>
      <c r="D1766" s="5"/>
      <c r="E1766" s="5"/>
      <c r="F1766" s="5"/>
      <c r="G1766" s="5"/>
      <c r="H1766" s="5"/>
      <c r="I1766" s="5"/>
      <c r="J1766" s="5"/>
      <c r="K1766" s="5"/>
      <c r="L1766" s="5"/>
      <c r="M1766" s="5"/>
      <c r="N1766" s="5"/>
      <c r="O1766" s="5"/>
      <c r="P1766" s="5"/>
      <c r="Q1766" s="5"/>
      <c r="R1766" s="5"/>
      <c r="S1766" s="5"/>
      <c r="T1766" s="5"/>
      <c r="U1766" s="5"/>
      <c r="V1766" s="5"/>
      <c r="W1766" s="5"/>
      <c r="X1766" s="5"/>
      <c r="Y1766" s="5"/>
      <c r="Z1766" s="5"/>
    </row>
    <row r="1767" spans="1:26" ht="15.6" x14ac:dyDescent="0.3">
      <c r="A1767" s="18" t="s">
        <v>5</v>
      </c>
      <c r="B1767" s="24" t="s">
        <v>1767</v>
      </c>
      <c r="C1767" s="2" t="str">
        <f ca="1">IFERROR(__xludf.DUMMYFUNCTION("GOOGLETRANSLATE(B1767, ""bn"", ""en"")"),"A female teacher was fired from school for wearing a hijab, and was later forced to commit suicide by social harassment. Total killed: 1 person.")</f>
        <v>A female teacher was fired from school for wearing a hijab, and was later forced to commit suicide by social harassment. Total killed: 1 person.</v>
      </c>
      <c r="D1767" s="5"/>
      <c r="E1767" s="5"/>
      <c r="F1767" s="5"/>
      <c r="G1767" s="5"/>
      <c r="H1767" s="5"/>
      <c r="I1767" s="5"/>
      <c r="J1767" s="5"/>
      <c r="K1767" s="5"/>
      <c r="L1767" s="5"/>
      <c r="M1767" s="5"/>
      <c r="N1767" s="5"/>
      <c r="O1767" s="5"/>
      <c r="P1767" s="5"/>
      <c r="Q1767" s="5"/>
      <c r="R1767" s="5"/>
      <c r="S1767" s="5"/>
      <c r="T1767" s="5"/>
      <c r="U1767" s="5"/>
      <c r="V1767" s="5"/>
      <c r="W1767" s="5"/>
      <c r="X1767" s="5"/>
      <c r="Y1767" s="5"/>
      <c r="Z1767" s="5"/>
    </row>
    <row r="1768" spans="1:26" ht="15.6" x14ac:dyDescent="0.3">
      <c r="A1768" s="19" t="s">
        <v>23</v>
      </c>
      <c r="B1768" s="26" t="s">
        <v>1768</v>
      </c>
      <c r="C1768" s="2" t="str">
        <f ca="1">IFERROR(__xludf.DUMMYFUNCTION("GOOGLETRANSLATE(B1768, ""bn"", ""en"")"),"Worst hit were members of the Hindu community who were looted of their land and shops, systematically killed, and in some places, painted with yellow patches marked ""H"". All this is officially sanctioned, ordered and enforced under martial law from Isla"&amp;"mabad")</f>
        <v>Worst hit were members of the Hindu community who were looted of their land and shops, systematically killed, and in some places, painted with yellow patches marked "H". All this is officially sanctioned, ordered and enforced under martial law from Islamabad</v>
      </c>
      <c r="D1768" s="7"/>
      <c r="E1768" s="7"/>
      <c r="F1768" s="7"/>
      <c r="G1768" s="7"/>
      <c r="H1768" s="7"/>
      <c r="I1768" s="7"/>
      <c r="J1768" s="5"/>
      <c r="K1768" s="5"/>
      <c r="L1768" s="5"/>
      <c r="M1768" s="5"/>
      <c r="N1768" s="5"/>
      <c r="O1768" s="5"/>
      <c r="P1768" s="5"/>
      <c r="Q1768" s="5"/>
      <c r="R1768" s="5"/>
      <c r="S1768" s="5"/>
      <c r="T1768" s="5"/>
      <c r="U1768" s="5"/>
      <c r="V1768" s="5"/>
      <c r="W1768" s="5"/>
      <c r="X1768" s="5"/>
      <c r="Y1768" s="5"/>
      <c r="Z1768" s="5"/>
    </row>
    <row r="1769" spans="1:26" ht="15.6" x14ac:dyDescent="0.3">
      <c r="A1769" s="18" t="s">
        <v>8</v>
      </c>
      <c r="B1769" s="25" t="s">
        <v>1769</v>
      </c>
      <c r="C1769" s="2" t="str">
        <f ca="1">IFERROR(__xludf.DUMMYFUNCTION("GOOGLETRANSLATE(B1769, ""bn"", ""en"")"),"On March 18, more than 150 armed assailants attacked and vandalized the Pabal Sarvajanin Kalibari temple in Banikpara, Khulna city around 9:30 pm. After bursting into flames, they vandalized Hindu houses and shops in the area.")</f>
        <v>On March 18, more than 150 armed assailants attacked and vandalized the Pabal Sarvajanin Kalibari temple in Banikpara, Khulna city around 9:30 pm. After bursting into flames, they vandalized Hindu houses and shops in the area.</v>
      </c>
      <c r="D1769" s="6"/>
      <c r="E1769" s="6"/>
      <c r="F1769" s="6"/>
      <c r="G1769" s="6"/>
      <c r="H1769" s="3"/>
      <c r="I1769" s="3"/>
      <c r="J1769" s="3"/>
      <c r="K1769" s="3"/>
      <c r="L1769" s="3"/>
      <c r="M1769" s="3"/>
      <c r="N1769" s="3"/>
      <c r="O1769" s="3"/>
      <c r="P1769" s="3"/>
      <c r="Q1769" s="3"/>
      <c r="R1769" s="3"/>
      <c r="S1769" s="3"/>
      <c r="T1769" s="3"/>
      <c r="U1769" s="3"/>
      <c r="V1769" s="3"/>
      <c r="W1769" s="3"/>
      <c r="X1769" s="3"/>
      <c r="Y1769" s="3"/>
      <c r="Z1769" s="3"/>
    </row>
    <row r="1770" spans="1:26" ht="15.6" x14ac:dyDescent="0.3">
      <c r="A1770" s="18" t="s">
        <v>23</v>
      </c>
      <c r="B1770" s="25" t="s">
        <v>1770</v>
      </c>
      <c r="C1770" s="2" t="str">
        <f ca="1">IFERROR(__xludf.DUMMYFUNCTION("GOOGLETRANSLATE(B1770, ""bn"", ""en"")"),"By hanging signboards in Kushtia, the property owners of Hindu families have been encroached upon")</f>
        <v>By hanging signboards in Kushtia, the property owners of Hindu families have been encroached upon</v>
      </c>
      <c r="D1770" s="2"/>
      <c r="E1770" s="2"/>
      <c r="F1770" s="2"/>
      <c r="G1770" s="2"/>
      <c r="H1770" s="3"/>
      <c r="I1770" s="3"/>
      <c r="J1770" s="3"/>
      <c r="K1770" s="3"/>
      <c r="L1770" s="3"/>
      <c r="M1770" s="3"/>
      <c r="N1770" s="3"/>
      <c r="O1770" s="3"/>
      <c r="P1770" s="3"/>
      <c r="Q1770" s="3"/>
      <c r="R1770" s="3"/>
      <c r="S1770" s="3"/>
      <c r="T1770" s="3"/>
      <c r="U1770" s="3"/>
      <c r="V1770" s="3"/>
      <c r="W1770" s="3"/>
      <c r="X1770" s="3"/>
      <c r="Y1770" s="3"/>
      <c r="Z1770" s="3"/>
    </row>
    <row r="1771" spans="1:26" ht="15.6" x14ac:dyDescent="0.3">
      <c r="A1771" s="18" t="s">
        <v>3</v>
      </c>
      <c r="B1771" s="25" t="s">
        <v>1771</v>
      </c>
      <c r="C1771" s="2" t="str">
        <f ca="1">IFERROR(__xludf.DUMMYFUNCTION("GOOGLETRANSLATE(B1771, ""bn"", ""en"")"),"An important teaching of Christianity is kindness and forgiveness, where according to their belief, God forgives all our mistakes, and we should also forgive each other to establish peace and unity, without creating any kind of turmoil or violence.")</f>
        <v>An important teaching of Christianity is kindness and forgiveness, where according to their belief, God forgives all our mistakes, and we should also forgive each other to establish peace and unity, without creating any kind of turmoil or violence.</v>
      </c>
      <c r="D1771" s="5"/>
      <c r="E1771" s="5"/>
      <c r="F1771" s="5"/>
      <c r="G1771" s="5"/>
      <c r="H1771" s="5"/>
      <c r="I1771" s="5"/>
      <c r="J1771" s="5"/>
      <c r="K1771" s="5"/>
      <c r="L1771" s="5"/>
      <c r="M1771" s="5"/>
      <c r="N1771" s="5"/>
      <c r="O1771" s="5"/>
      <c r="P1771" s="5"/>
      <c r="Q1771" s="5"/>
      <c r="R1771" s="5"/>
      <c r="S1771" s="5"/>
      <c r="T1771" s="5"/>
      <c r="U1771" s="5"/>
      <c r="V1771" s="5"/>
      <c r="W1771" s="5"/>
      <c r="X1771" s="5"/>
      <c r="Y1771" s="5"/>
      <c r="Z1771" s="5"/>
    </row>
    <row r="1772" spans="1:26" ht="15.6" x14ac:dyDescent="0.3">
      <c r="A1772" s="18" t="s">
        <v>8</v>
      </c>
      <c r="B1772" s="24" t="s">
        <v>1772</v>
      </c>
      <c r="C1772" s="2" t="str">
        <f ca="1">IFERROR(__xludf.DUMMYFUNCTION("GOOGLETRANSLATE(B1772, ""bn"", ""en"")"),"During prayers in a church in Pabna, the power was cut off and the prayers were disrupted by playing loudspeakers.")</f>
        <v>During prayers in a church in Pabna, the power was cut off and the prayers were disrupted by playing loudspeakers.</v>
      </c>
      <c r="D1772" s="5"/>
      <c r="E1772" s="5"/>
      <c r="F1772" s="5"/>
      <c r="G1772" s="5"/>
      <c r="H1772" s="5"/>
      <c r="I1772" s="5"/>
      <c r="J1772" s="5"/>
      <c r="K1772" s="5"/>
      <c r="L1772" s="5"/>
      <c r="M1772" s="5"/>
      <c r="N1772" s="5"/>
      <c r="O1772" s="5"/>
      <c r="P1772" s="5"/>
      <c r="Q1772" s="5"/>
      <c r="R1772" s="5"/>
      <c r="S1772" s="5"/>
      <c r="T1772" s="5"/>
      <c r="U1772" s="5"/>
      <c r="V1772" s="5"/>
      <c r="W1772" s="5"/>
      <c r="X1772" s="5"/>
      <c r="Y1772" s="5"/>
      <c r="Z1772" s="5"/>
    </row>
    <row r="1773" spans="1:26" ht="15.6" x14ac:dyDescent="0.3">
      <c r="A1773" s="18" t="s">
        <v>5</v>
      </c>
      <c r="B1773" s="24" t="s">
        <v>1773</v>
      </c>
      <c r="C1773" s="2" t="str">
        <f ca="1">IFERROR(__xludf.DUMMYFUNCTION("GOOGLETRANSLATE(B1773, ""bn"", ""en"")"),"In December 2018, 33 people were killed in clashes between a group of religious groups; Many people were injured.")</f>
        <v>In December 2018, 33 people were killed in clashes between a group of religious groups; Many people were injured.</v>
      </c>
      <c r="D1773" s="5"/>
      <c r="E1773" s="5"/>
      <c r="F1773" s="5"/>
      <c r="G1773" s="5"/>
      <c r="H1773" s="5"/>
      <c r="I1773" s="5"/>
      <c r="J1773" s="5"/>
      <c r="K1773" s="5"/>
      <c r="L1773" s="5"/>
      <c r="M1773" s="5"/>
      <c r="N1773" s="5"/>
      <c r="O1773" s="5"/>
      <c r="P1773" s="5"/>
      <c r="Q1773" s="5"/>
      <c r="R1773" s="5"/>
      <c r="S1773" s="5"/>
      <c r="T1773" s="5"/>
      <c r="U1773" s="5"/>
      <c r="V1773" s="5"/>
      <c r="W1773" s="5"/>
      <c r="X1773" s="5"/>
      <c r="Y1773" s="5"/>
      <c r="Z1773" s="5"/>
    </row>
    <row r="1774" spans="1:26" ht="15.6" x14ac:dyDescent="0.3">
      <c r="A1774" s="18" t="s">
        <v>3</v>
      </c>
      <c r="B1774" s="25" t="s">
        <v>1774</v>
      </c>
      <c r="C1774" s="2" t="str">
        <f ca="1">IFERROR(__xludf.DUMMYFUNCTION("GOOGLETRANSLATE(B1774, ""bn"", ""en"")"),"I have to ask Allah for any problem and I have to keep the confidence that Allah will accept my prayers.")</f>
        <v>I have to ask Allah for any problem and I have to keep the confidence that Allah will accept my prayers.</v>
      </c>
      <c r="D1774" s="5"/>
      <c r="E1774" s="5"/>
      <c r="F1774" s="5"/>
      <c r="G1774" s="5"/>
      <c r="H1774" s="5"/>
      <c r="I1774" s="5"/>
      <c r="J1774" s="5"/>
      <c r="K1774" s="5"/>
      <c r="L1774" s="5"/>
      <c r="M1774" s="5"/>
      <c r="N1774" s="5"/>
      <c r="O1774" s="5"/>
      <c r="P1774" s="5"/>
      <c r="Q1774" s="5"/>
      <c r="R1774" s="5"/>
      <c r="S1774" s="5"/>
      <c r="T1774" s="5"/>
      <c r="U1774" s="5"/>
      <c r="V1774" s="5"/>
      <c r="W1774" s="5"/>
      <c r="X1774" s="5"/>
      <c r="Y1774" s="5"/>
      <c r="Z1774" s="5"/>
    </row>
    <row r="1775" spans="1:26" ht="15.6" x14ac:dyDescent="0.3">
      <c r="A1775" s="18" t="s">
        <v>5</v>
      </c>
      <c r="B1775" s="25" t="s">
        <v>1775</v>
      </c>
      <c r="C1775" s="2" t="str">
        <f ca="1">IFERROR(__xludf.DUMMYFUNCTION("GOOGLETRANSLATE(B1775, ""bn"", ""en"")"),"He did not realize that this life was also his right to live his own way before he committed suicide after being hated and insulted because of his religious identity.")</f>
        <v>He did not realize that this life was also his right to live his own way before he committed suicide after being hated and insulted because of his religious identity.</v>
      </c>
      <c r="D1775" s="5"/>
      <c r="E1775" s="5"/>
      <c r="F1775" s="5"/>
      <c r="G1775" s="5"/>
      <c r="H1775" s="5"/>
      <c r="I1775" s="5"/>
      <c r="J1775" s="5"/>
      <c r="K1775" s="5"/>
      <c r="L1775" s="5"/>
      <c r="M1775" s="5"/>
      <c r="N1775" s="5"/>
      <c r="O1775" s="5"/>
      <c r="P1775" s="5"/>
      <c r="Q1775" s="5"/>
      <c r="R1775" s="5"/>
      <c r="S1775" s="5"/>
      <c r="T1775" s="5"/>
      <c r="U1775" s="5"/>
      <c r="V1775" s="5"/>
      <c r="W1775" s="5"/>
      <c r="X1775" s="5"/>
      <c r="Y1775" s="5"/>
      <c r="Z1775" s="5"/>
    </row>
    <row r="1776" spans="1:26" ht="15.6" x14ac:dyDescent="0.3">
      <c r="A1776" s="18" t="s">
        <v>23</v>
      </c>
      <c r="B1776" s="25" t="s">
        <v>1776</v>
      </c>
      <c r="C1776" s="2" t="str">
        <f ca="1">IFERROR(__xludf.DUMMYFUNCTION("GOOGLETRANSLATE(B1776, ""bn"", ""en"")"),"The full meaning of Islam is to maintain peace and harmony, but some people use Islam for their own interests.")</f>
        <v>The full meaning of Islam is to maintain peace and harmony, but some people use Islam for their own interests.</v>
      </c>
      <c r="D1776" s="5"/>
      <c r="E1776" s="5"/>
      <c r="F1776" s="5"/>
      <c r="G1776" s="5"/>
      <c r="H1776" s="5"/>
      <c r="I1776" s="5"/>
      <c r="J1776" s="5"/>
      <c r="K1776" s="5"/>
      <c r="L1776" s="5"/>
      <c r="M1776" s="5"/>
      <c r="N1776" s="5"/>
      <c r="O1776" s="5"/>
      <c r="P1776" s="5"/>
      <c r="Q1776" s="5"/>
      <c r="R1776" s="5"/>
      <c r="S1776" s="5"/>
      <c r="T1776" s="5"/>
      <c r="U1776" s="5"/>
      <c r="V1776" s="5"/>
      <c r="W1776" s="5"/>
      <c r="X1776" s="5"/>
      <c r="Y1776" s="5"/>
      <c r="Z1776" s="5"/>
    </row>
    <row r="1777" spans="1:26" ht="15.6" x14ac:dyDescent="0.3">
      <c r="A1777" s="19" t="s">
        <v>23</v>
      </c>
      <c r="B1777" s="26" t="s">
        <v>1777</v>
      </c>
      <c r="C1777" s="2" t="str">
        <f ca="1">IFERROR(__xludf.DUMMYFUNCTION("GOOGLETRANSLATE(B1777, ""bn"", ""en"")"),"It's so normal for them, they don't care if a funny post is good or bad")</f>
        <v>It's so normal for them, they don't care if a funny post is good or bad</v>
      </c>
      <c r="D1777" s="5"/>
      <c r="E1777" s="5"/>
      <c r="F1777" s="5"/>
      <c r="G1777" s="5"/>
      <c r="H1777" s="5"/>
      <c r="I1777" s="5"/>
      <c r="J1777" s="5"/>
      <c r="K1777" s="5"/>
      <c r="L1777" s="5"/>
      <c r="M1777" s="5"/>
      <c r="N1777" s="5"/>
      <c r="O1777" s="5"/>
      <c r="P1777" s="5"/>
      <c r="Q1777" s="5"/>
      <c r="R1777" s="5"/>
      <c r="S1777" s="5"/>
      <c r="T1777" s="5"/>
      <c r="U1777" s="5"/>
      <c r="V1777" s="5"/>
      <c r="W1777" s="5"/>
      <c r="X1777" s="5"/>
      <c r="Y1777" s="5"/>
      <c r="Z1777" s="5"/>
    </row>
    <row r="1778" spans="1:26" ht="15.6" x14ac:dyDescent="0.3">
      <c r="A1778" s="18" t="s">
        <v>8</v>
      </c>
      <c r="B1778" s="25" t="s">
        <v>1778</v>
      </c>
      <c r="C1778" s="2" t="str">
        <f ca="1">IFERROR(__xludf.DUMMYFUNCTION("GOOGLETRANSLATE(B1778, ""bn"", ""en"")"),"Terrorists burnt the Kali Temple in Rajapur")</f>
        <v>Terrorists burnt the Kali Temple in Rajapur</v>
      </c>
      <c r="D1778" s="5"/>
      <c r="E1778" s="5"/>
      <c r="F1778" s="5"/>
      <c r="G1778" s="5"/>
      <c r="H1778" s="5"/>
      <c r="I1778" s="5"/>
      <c r="J1778" s="5"/>
      <c r="K1778" s="5"/>
      <c r="L1778" s="5"/>
      <c r="M1778" s="5"/>
      <c r="N1778" s="5"/>
      <c r="O1778" s="5"/>
      <c r="P1778" s="5"/>
      <c r="Q1778" s="5"/>
      <c r="R1778" s="5"/>
      <c r="S1778" s="5"/>
      <c r="T1778" s="5"/>
      <c r="U1778" s="5"/>
      <c r="V1778" s="5"/>
      <c r="W1778" s="5"/>
      <c r="X1778" s="5"/>
      <c r="Y1778" s="5"/>
      <c r="Z1778" s="5"/>
    </row>
    <row r="1779" spans="1:26" ht="15.6" x14ac:dyDescent="0.3">
      <c r="A1779" s="18" t="s">
        <v>8</v>
      </c>
      <c r="B1779" s="25" t="s">
        <v>1779</v>
      </c>
      <c r="C1779" s="2" t="str">
        <f ca="1">IFERROR(__xludf.DUMMYFUNCTION("GOOGLETRANSLATE(B1779, ""bn"", ""en"")"),"Muslims are the most victims of harassment and cyber bullying in this country. It can be prevented only by united protest.")</f>
        <v>Muslims are the most victims of harassment and cyber bullying in this country. It can be prevented only by united protest.</v>
      </c>
      <c r="D1779" s="5"/>
      <c r="E1779" s="5"/>
      <c r="F1779" s="5"/>
      <c r="G1779" s="5"/>
      <c r="H1779" s="5"/>
      <c r="I1779" s="5"/>
      <c r="J1779" s="5"/>
      <c r="K1779" s="5"/>
      <c r="L1779" s="5"/>
      <c r="M1779" s="5"/>
      <c r="N1779" s="5"/>
      <c r="O1779" s="5"/>
      <c r="P1779" s="5"/>
      <c r="Q1779" s="5"/>
      <c r="R1779" s="5"/>
      <c r="S1779" s="5"/>
      <c r="T1779" s="5"/>
      <c r="U1779" s="5"/>
      <c r="V1779" s="5"/>
      <c r="W1779" s="5"/>
      <c r="X1779" s="5"/>
      <c r="Y1779" s="5"/>
      <c r="Z1779" s="5"/>
    </row>
    <row r="1780" spans="1:26" ht="15.6" x14ac:dyDescent="0.3">
      <c r="A1780" s="19" t="s">
        <v>3</v>
      </c>
      <c r="B1780" s="26" t="s">
        <v>1780</v>
      </c>
      <c r="C1780" s="2" t="str">
        <f ca="1">IFERROR(__xludf.DUMMYFUNCTION("GOOGLETRANSLATE(B1780, ""bn"", ""en"")"),"Practicing religion means peace and respect; No religion supports insulting other religions.")</f>
        <v>Practicing religion means peace and respect; No religion supports insulting other religions.</v>
      </c>
      <c r="D1780" s="7"/>
      <c r="E1780" s="5"/>
      <c r="F1780" s="5"/>
      <c r="G1780" s="5"/>
      <c r="H1780" s="5"/>
      <c r="I1780" s="5"/>
      <c r="J1780" s="5"/>
      <c r="K1780" s="5"/>
      <c r="L1780" s="5"/>
      <c r="M1780" s="5"/>
      <c r="N1780" s="5"/>
      <c r="O1780" s="5"/>
      <c r="P1780" s="5"/>
      <c r="Q1780" s="5"/>
      <c r="R1780" s="5"/>
      <c r="S1780" s="5"/>
      <c r="T1780" s="5"/>
      <c r="U1780" s="5"/>
      <c r="V1780" s="5"/>
      <c r="W1780" s="5"/>
      <c r="X1780" s="5"/>
      <c r="Y1780" s="5"/>
      <c r="Z1780" s="5"/>
    </row>
    <row r="1781" spans="1:26" ht="15.6" x14ac:dyDescent="0.3">
      <c r="A1781" s="18" t="s">
        <v>8</v>
      </c>
      <c r="B1781" s="25" t="s">
        <v>1781</v>
      </c>
      <c r="C1781" s="2" t="str">
        <f ca="1">IFERROR(__xludf.DUMMYFUNCTION("GOOGLETRANSLATE(B1781, ""bn"", ""en"")"),"OC Badiuzzaman said that the police has started an investigation into the incident of idol vandalism in the temple. Locals feel that the incident poses a threat to religious tolerance.")</f>
        <v>OC Badiuzzaman said that the police has started an investigation into the incident of idol vandalism in the temple. Locals feel that the incident poses a threat to religious tolerance.</v>
      </c>
      <c r="D1781" s="5"/>
      <c r="E1781" s="5"/>
      <c r="F1781" s="5"/>
      <c r="G1781" s="5"/>
      <c r="H1781" s="5"/>
      <c r="I1781" s="5"/>
      <c r="J1781" s="5"/>
      <c r="K1781" s="5"/>
      <c r="L1781" s="5"/>
      <c r="M1781" s="5"/>
      <c r="N1781" s="5"/>
      <c r="O1781" s="5"/>
      <c r="P1781" s="5"/>
      <c r="Q1781" s="5"/>
      <c r="R1781" s="5"/>
      <c r="S1781" s="5"/>
      <c r="T1781" s="5"/>
      <c r="U1781" s="5"/>
      <c r="V1781" s="5"/>
      <c r="W1781" s="5"/>
      <c r="X1781" s="5"/>
      <c r="Y1781" s="5"/>
      <c r="Z1781" s="5"/>
    </row>
    <row r="1782" spans="1:26" ht="15.6" x14ac:dyDescent="0.3">
      <c r="A1782" s="18" t="s">
        <v>5</v>
      </c>
      <c r="B1782" s="24" t="s">
        <v>1782</v>
      </c>
      <c r="C1782" s="2" t="str">
        <f ca="1">IFERROR(__xludf.DUMMYFUNCTION("GOOGLETRANSLATE(B1782, ""bn"", ""en"")"),"A Christian community's houses were vandalized and set on fire, killing at least 15 people.")</f>
        <v>A Christian community's houses were vandalized and set on fire, killing at least 15 people.</v>
      </c>
      <c r="D1782" s="5"/>
      <c r="E1782" s="5"/>
      <c r="F1782" s="5"/>
      <c r="G1782" s="5"/>
      <c r="H1782" s="5"/>
      <c r="I1782" s="5"/>
      <c r="J1782" s="5"/>
      <c r="K1782" s="5"/>
      <c r="L1782" s="5"/>
      <c r="M1782" s="5"/>
      <c r="N1782" s="5"/>
      <c r="O1782" s="5"/>
      <c r="P1782" s="5"/>
      <c r="Q1782" s="5"/>
      <c r="R1782" s="5"/>
      <c r="S1782" s="5"/>
      <c r="T1782" s="5"/>
      <c r="U1782" s="5"/>
      <c r="V1782" s="5"/>
      <c r="W1782" s="5"/>
      <c r="X1782" s="5"/>
      <c r="Y1782" s="5"/>
      <c r="Z1782" s="5"/>
    </row>
    <row r="1783" spans="1:26" ht="15.6" x14ac:dyDescent="0.3">
      <c r="A1783" s="18" t="s">
        <v>23</v>
      </c>
      <c r="B1783" s="25" t="s">
        <v>1783</v>
      </c>
      <c r="C1783" s="2" t="str">
        <f ca="1">IFERROR(__xludf.DUMMYFUNCTION("GOOGLETRANSLATE(B1783, ""bn"", ""en"")"),"It is said that some spineless people taunt and attack religion by expressing their hatred towards extremists, which is very despicable and sad.")</f>
        <v>It is said that some spineless people taunt and attack religion by expressing their hatred towards extremists, which is very despicable and sad.</v>
      </c>
      <c r="D1783" s="2"/>
      <c r="E1783" s="2"/>
      <c r="F1783" s="2"/>
      <c r="G1783" s="2"/>
      <c r="H1783" s="5"/>
      <c r="I1783" s="5"/>
      <c r="J1783" s="5"/>
      <c r="K1783" s="5"/>
      <c r="L1783" s="5"/>
      <c r="M1783" s="5"/>
      <c r="N1783" s="5"/>
      <c r="O1783" s="5"/>
      <c r="P1783" s="5"/>
      <c r="Q1783" s="5"/>
      <c r="R1783" s="5"/>
      <c r="S1783" s="5"/>
      <c r="T1783" s="5"/>
      <c r="U1783" s="5"/>
      <c r="V1783" s="5"/>
      <c r="W1783" s="5"/>
      <c r="X1783" s="5"/>
      <c r="Y1783" s="5"/>
      <c r="Z1783" s="5"/>
    </row>
    <row r="1784" spans="1:26" ht="15.6" x14ac:dyDescent="0.3">
      <c r="A1784" s="18" t="s">
        <v>5</v>
      </c>
      <c r="B1784" s="24" t="s">
        <v>1784</v>
      </c>
      <c r="C1784" s="2" t="str">
        <f ca="1">IFERROR(__xludf.DUMMYFUNCTION("GOOGLETRANSLATE(B1784, ""bn"", ""en"")"),"In Magura district, 41 people lost their lives in clashes due to religious disputes. Police failed to quell the violence, the government ordered calm. Many families seek shelter for safety.")</f>
        <v>In Magura district, 41 people lost their lives in clashes due to religious disputes. Police failed to quell the violence, the government ordered calm. Many families seek shelter for safety.</v>
      </c>
      <c r="D1784" s="5"/>
      <c r="E1784" s="5"/>
      <c r="F1784" s="5"/>
      <c r="G1784" s="5"/>
      <c r="H1784" s="5"/>
      <c r="I1784" s="5"/>
      <c r="J1784" s="5"/>
      <c r="K1784" s="5"/>
      <c r="L1784" s="5"/>
      <c r="M1784" s="5"/>
      <c r="N1784" s="5"/>
      <c r="O1784" s="5"/>
      <c r="P1784" s="5"/>
      <c r="Q1784" s="5"/>
      <c r="R1784" s="5"/>
      <c r="S1784" s="5"/>
      <c r="T1784" s="5"/>
      <c r="U1784" s="5"/>
      <c r="V1784" s="5"/>
      <c r="W1784" s="5"/>
      <c r="X1784" s="5"/>
      <c r="Y1784" s="5"/>
      <c r="Z1784" s="5"/>
    </row>
    <row r="1785" spans="1:26" ht="15.6" x14ac:dyDescent="0.3">
      <c r="A1785" s="18" t="s">
        <v>3</v>
      </c>
      <c r="B1785" s="25" t="s">
        <v>1785</v>
      </c>
      <c r="C1785" s="2" t="str">
        <f ca="1">IFERROR(__xludf.DUMMYFUNCTION("GOOGLETRANSLATE(B1785, ""bn"", ""en"")"),"A few people from the Hindu community took shelter at home and started training to defend themselves, trusting in Allah.")</f>
        <v>A few people from the Hindu community took shelter at home and started training to defend themselves, trusting in Allah.</v>
      </c>
      <c r="D1785" s="5"/>
      <c r="E1785" s="5"/>
      <c r="F1785" s="5"/>
      <c r="G1785" s="5"/>
      <c r="H1785" s="5"/>
      <c r="I1785" s="5"/>
      <c r="J1785" s="5"/>
      <c r="K1785" s="5"/>
      <c r="L1785" s="5"/>
      <c r="M1785" s="5"/>
      <c r="N1785" s="5"/>
      <c r="O1785" s="5"/>
      <c r="P1785" s="5"/>
      <c r="Q1785" s="5"/>
      <c r="R1785" s="5"/>
      <c r="S1785" s="5"/>
      <c r="T1785" s="5"/>
      <c r="U1785" s="5"/>
      <c r="V1785" s="5"/>
      <c r="W1785" s="5"/>
      <c r="X1785" s="5"/>
      <c r="Y1785" s="5"/>
      <c r="Z1785" s="5"/>
    </row>
    <row r="1786" spans="1:26" ht="15.6" x14ac:dyDescent="0.3">
      <c r="A1786" s="19" t="s">
        <v>5</v>
      </c>
      <c r="B1786" s="26" t="s">
        <v>1786</v>
      </c>
      <c r="C1786" s="2" t="str">
        <f ca="1">IFERROR(__xludf.DUMMYFUNCTION("GOOGLETRANSLATE(B1786, ""bn"", ""en"")"),"Minority communities in Bangladesh have been attacked again. According to sources, two businessmen of the Sikh community were shot dead in an area of ​​Dhaka city.")</f>
        <v>Minority communities in Bangladesh have been attacked again. According to sources, two businessmen of the Sikh community were shot dead in an area of ​​Dhaka city.</v>
      </c>
      <c r="D1786" s="7"/>
      <c r="E1786" s="7"/>
      <c r="F1786" s="7"/>
      <c r="G1786" s="7"/>
      <c r="H1786" s="7"/>
      <c r="I1786" s="7"/>
      <c r="J1786" s="7"/>
      <c r="K1786" s="7"/>
      <c r="L1786" s="7"/>
      <c r="M1786" s="5"/>
      <c r="N1786" s="5"/>
      <c r="O1786" s="5"/>
      <c r="P1786" s="5"/>
      <c r="Q1786" s="5"/>
      <c r="R1786" s="5"/>
      <c r="S1786" s="5"/>
      <c r="T1786" s="5"/>
      <c r="U1786" s="5"/>
      <c r="V1786" s="5"/>
      <c r="W1786" s="5"/>
      <c r="X1786" s="5"/>
      <c r="Y1786" s="5"/>
      <c r="Z1786" s="5"/>
    </row>
    <row r="1787" spans="1:26" ht="15.6" x14ac:dyDescent="0.3">
      <c r="A1787" s="19" t="s">
        <v>5</v>
      </c>
      <c r="B1787" s="26" t="s">
        <v>1787</v>
      </c>
      <c r="C1787" s="2" t="str">
        <f ca="1">IFERROR(__xludf.DUMMYFUNCTION("GOOGLETRANSLATE(B1787, ""bn"", ""en"")"),"There have been reports of outrage in some Muslim countries, including Jordan and Kuwait, against some of President Emmanuel Macron's recent comments on Islam after a school teacher was beheaded for showing a cartoon of the Prophet of Islam in a classroom"&amp;" in France.")</f>
        <v>There have been reports of outrage in some Muslim countries, including Jordan and Kuwait, against some of President Emmanuel Macron's recent comments on Islam after a school teacher was beheaded for showing a cartoon of the Prophet of Islam in a classroom in France.</v>
      </c>
      <c r="D1787" s="7"/>
      <c r="E1787" s="7"/>
      <c r="F1787" s="7"/>
      <c r="G1787" s="5"/>
      <c r="H1787" s="5"/>
      <c r="I1787" s="5"/>
      <c r="J1787" s="5"/>
      <c r="K1787" s="5"/>
      <c r="L1787" s="5"/>
      <c r="M1787" s="5"/>
      <c r="N1787" s="5"/>
      <c r="O1787" s="5"/>
      <c r="P1787" s="5"/>
      <c r="Q1787" s="5"/>
      <c r="R1787" s="5"/>
      <c r="S1787" s="5"/>
      <c r="T1787" s="5"/>
      <c r="U1787" s="5"/>
      <c r="V1787" s="5"/>
      <c r="W1787" s="5"/>
      <c r="X1787" s="5"/>
      <c r="Y1787" s="5"/>
      <c r="Z1787" s="5"/>
    </row>
    <row r="1788" spans="1:26" ht="15.6" x14ac:dyDescent="0.3">
      <c r="A1788" s="18" t="s">
        <v>5</v>
      </c>
      <c r="B1788" s="25" t="s">
        <v>1788</v>
      </c>
      <c r="C1788" s="2" t="str">
        <f ca="1">IFERROR(__xludf.DUMMYFUNCTION("GOOGLETRANSLATE(B1788, ""bn"", ""en"")"),"36 Muslims of the same family were killed in a brutal attack on March 15 while preparing for Ramadan Sehri. It is said that some of them were burned to death in this religious hate killing.")</f>
        <v>36 Muslims of the same family were killed in a brutal attack on March 15 while preparing for Ramadan Sehri. It is said that some of them were burned to death in this religious hate killing.</v>
      </c>
      <c r="D1788" s="5"/>
      <c r="E1788" s="5"/>
      <c r="F1788" s="5"/>
      <c r="G1788" s="5"/>
      <c r="H1788" s="5"/>
      <c r="I1788" s="5"/>
      <c r="J1788" s="5"/>
      <c r="K1788" s="5"/>
      <c r="L1788" s="5"/>
      <c r="M1788" s="5"/>
      <c r="N1788" s="5"/>
      <c r="O1788" s="5"/>
      <c r="P1788" s="5"/>
      <c r="Q1788" s="5"/>
      <c r="R1788" s="5"/>
      <c r="S1788" s="5"/>
      <c r="T1788" s="5"/>
      <c r="U1788" s="5"/>
      <c r="V1788" s="5"/>
      <c r="W1788" s="5"/>
      <c r="X1788" s="5"/>
      <c r="Y1788" s="5"/>
      <c r="Z1788" s="5"/>
    </row>
    <row r="1789" spans="1:26" ht="15.6" x14ac:dyDescent="0.3">
      <c r="A1789" s="18" t="s">
        <v>5</v>
      </c>
      <c r="B1789" s="25" t="s">
        <v>1789</v>
      </c>
      <c r="C1789" s="2" t="str">
        <f ca="1">IFERROR(__xludf.DUMMYFUNCTION("GOOGLETRANSLATE(B1789, ""bn"", ""en"")"),"Irrespective of the cremation or burial practices associated with a woman in connection with the body of her relative, the widow or the women are claimed to be voluntary or otherwise explained.")</f>
        <v>Irrespective of the cremation or burial practices associated with a woman in connection with the body of her relative, the widow or the women are claimed to be voluntary or otherwise explained.</v>
      </c>
      <c r="D1789" s="2"/>
      <c r="E1789" s="2"/>
      <c r="F1789" s="2"/>
      <c r="G1789" s="2"/>
      <c r="H1789" s="3"/>
      <c r="I1789" s="3"/>
      <c r="J1789" s="3"/>
      <c r="K1789" s="3"/>
      <c r="L1789" s="3"/>
      <c r="M1789" s="3"/>
      <c r="N1789" s="3"/>
      <c r="O1789" s="3"/>
      <c r="P1789" s="3"/>
      <c r="Q1789" s="3"/>
      <c r="R1789" s="3"/>
      <c r="S1789" s="3"/>
      <c r="T1789" s="3"/>
      <c r="U1789" s="3"/>
      <c r="V1789" s="3"/>
      <c r="W1789" s="3"/>
      <c r="X1789" s="3"/>
      <c r="Y1789" s="3"/>
      <c r="Z1789" s="3"/>
    </row>
    <row r="1790" spans="1:26" ht="15.6" x14ac:dyDescent="0.3">
      <c r="A1790" s="18" t="s">
        <v>23</v>
      </c>
      <c r="B1790" s="25" t="s">
        <v>1790</v>
      </c>
      <c r="C1790" s="2" t="str">
        <f ca="1">IFERROR(__xludf.DUMMYFUNCTION("GOOGLETRANSLATE(B1790, ""bn"", ""en"")"),"Karim did not become famous by doing standup comedy Became famous for making provocative speeches about religion")</f>
        <v>Karim did not become famous by doing standup comedy Became famous for making provocative speeches about religion</v>
      </c>
      <c r="D1790" s="5"/>
      <c r="E1790" s="5"/>
      <c r="F1790" s="5"/>
      <c r="G1790" s="5"/>
      <c r="H1790" s="5"/>
      <c r="I1790" s="5"/>
      <c r="J1790" s="5"/>
      <c r="K1790" s="5"/>
      <c r="L1790" s="5"/>
      <c r="M1790" s="5"/>
      <c r="N1790" s="5"/>
      <c r="O1790" s="5"/>
      <c r="P1790" s="5"/>
      <c r="Q1790" s="5"/>
      <c r="R1790" s="5"/>
      <c r="S1790" s="5"/>
      <c r="T1790" s="5"/>
      <c r="U1790" s="5"/>
      <c r="V1790" s="5"/>
      <c r="W1790" s="5"/>
      <c r="X1790" s="5"/>
      <c r="Y1790" s="5"/>
      <c r="Z1790" s="5"/>
    </row>
    <row r="1791" spans="1:26" ht="15.6" x14ac:dyDescent="0.3">
      <c r="A1791" s="18" t="s">
        <v>3</v>
      </c>
      <c r="B1791" s="25" t="s">
        <v>1791</v>
      </c>
      <c r="C1791" s="2" t="str">
        <f ca="1">IFERROR(__xludf.DUMMYFUNCTION("GOOGLETRANSLATE(B1791, ""bn"", ""en"")"),"He became interested in learning about Islam and Muslims. The life history of the Holy Prophet (PBUH) and the Holy Qur'an inspired him to accept Islam.")</f>
        <v>He became interested in learning about Islam and Muslims. The life history of the Holy Prophet (PBUH) and the Holy Qur'an inspired him to accept Islam.</v>
      </c>
      <c r="D1791" s="2"/>
      <c r="E1791" s="2"/>
      <c r="F1791" s="2"/>
      <c r="G1791" s="2"/>
      <c r="H1791" s="3"/>
      <c r="I1791" s="3"/>
      <c r="J1791" s="3"/>
      <c r="K1791" s="3"/>
      <c r="L1791" s="3"/>
      <c r="M1791" s="3"/>
      <c r="N1791" s="3"/>
      <c r="O1791" s="3"/>
      <c r="P1791" s="3"/>
      <c r="Q1791" s="3"/>
      <c r="R1791" s="3"/>
      <c r="S1791" s="3"/>
      <c r="T1791" s="3"/>
      <c r="U1791" s="3"/>
      <c r="V1791" s="3"/>
      <c r="W1791" s="3"/>
      <c r="X1791" s="3"/>
      <c r="Y1791" s="3"/>
      <c r="Z1791" s="3"/>
    </row>
    <row r="1792" spans="1:26" ht="15.6" x14ac:dyDescent="0.3">
      <c r="A1792" s="18" t="s">
        <v>3</v>
      </c>
      <c r="B1792" s="25" t="s">
        <v>1792</v>
      </c>
      <c r="C1792" s="2" t="str">
        <f ca="1">IFERROR(__xludf.DUMMYFUNCTION("GOOGLETRANSLATE(B1792, ""bn"", ""en"")"),"The bravery of the Prophet (PBUH) was covered with the cloak of mercy. Only on the field of Jihad did he display valor, and that only to exalt the Kalima of Allah. The Prophet (PBUH) never took revenge for personal gain, never hurt anyone except in the wa"&amp;"y of Allah. The martial ideals of the Prophet (peace be upon him) were the best ideals to be followed and emulated by all heroes of all ages.")</f>
        <v>The bravery of the Prophet (PBUH) was covered with the cloak of mercy. Only on the field of Jihad did he display valor, and that only to exalt the Kalima of Allah. The Prophet (PBUH) never took revenge for personal gain, never hurt anyone except in the way of Allah. The martial ideals of the Prophet (peace be upon him) were the best ideals to be followed and emulated by all heroes of all ages.</v>
      </c>
      <c r="D1792" s="5"/>
      <c r="E1792" s="5"/>
      <c r="F1792" s="5"/>
      <c r="G1792" s="5"/>
      <c r="H1792" s="5"/>
      <c r="I1792" s="5"/>
      <c r="J1792" s="5"/>
      <c r="K1792" s="5"/>
      <c r="L1792" s="5"/>
      <c r="M1792" s="5"/>
      <c r="N1792" s="5"/>
      <c r="O1792" s="5"/>
      <c r="P1792" s="5"/>
      <c r="Q1792" s="5"/>
      <c r="R1792" s="5"/>
      <c r="S1792" s="5"/>
      <c r="T1792" s="5"/>
      <c r="U1792" s="5"/>
      <c r="V1792" s="5"/>
      <c r="W1792" s="5"/>
      <c r="X1792" s="5"/>
      <c r="Y1792" s="5"/>
      <c r="Z1792" s="5"/>
    </row>
    <row r="1793" spans="1:26" ht="15.6" x14ac:dyDescent="0.3">
      <c r="A1793" s="18" t="s">
        <v>23</v>
      </c>
      <c r="B1793" s="25" t="s">
        <v>1793</v>
      </c>
      <c r="C1793" s="2" t="str">
        <f ca="1">IFERROR(__xludf.DUMMYFUNCTION("GOOGLETRANSLATE(B1793, ""bn"", ""en"")"),"O Allah, protect the Holy Qur'an and send down your wrath on these infidels very soon.")</f>
        <v>O Allah, protect the Holy Qur'an and send down your wrath on these infidels very soon.</v>
      </c>
      <c r="D1793" s="5"/>
      <c r="E1793" s="5"/>
      <c r="F1793" s="5"/>
      <c r="G1793" s="5"/>
      <c r="H1793" s="5"/>
      <c r="I1793" s="5"/>
      <c r="J1793" s="5"/>
      <c r="K1793" s="5"/>
      <c r="L1793" s="5"/>
      <c r="M1793" s="5"/>
      <c r="N1793" s="5"/>
      <c r="O1793" s="5"/>
      <c r="P1793" s="5"/>
      <c r="Q1793" s="5"/>
      <c r="R1793" s="5"/>
      <c r="S1793" s="5"/>
      <c r="T1793" s="5"/>
      <c r="U1793" s="5"/>
      <c r="V1793" s="5"/>
      <c r="W1793" s="5"/>
      <c r="X1793" s="5"/>
      <c r="Y1793" s="5"/>
      <c r="Z1793" s="5"/>
    </row>
    <row r="1794" spans="1:26" ht="15.6" x14ac:dyDescent="0.3">
      <c r="A1794" s="18" t="s">
        <v>3</v>
      </c>
      <c r="B1794" s="25" t="s">
        <v>1794</v>
      </c>
      <c r="C1794" s="2" t="str">
        <f ca="1">IFERROR(__xludf.DUMMYFUNCTION("GOOGLETRANSLATE(B1794, ""bn"", ""en"")"),"Muhammad has been given numerous names and titles in Muslim society. These names are the names given in the Quran, the names mentioned in the hadiths, the names mentioned in the holy books")</f>
        <v>Muhammad has been given numerous names and titles in Muslim society. These names are the names given in the Quran, the names mentioned in the hadiths, the names mentioned in the holy books</v>
      </c>
      <c r="D1794" s="2"/>
      <c r="E1794" s="2"/>
      <c r="F1794" s="2"/>
      <c r="G1794" s="2"/>
      <c r="H1794" s="3"/>
      <c r="I1794" s="3"/>
      <c r="J1794" s="3"/>
      <c r="K1794" s="3"/>
      <c r="L1794" s="3"/>
      <c r="M1794" s="3"/>
      <c r="N1794" s="3"/>
      <c r="O1794" s="3"/>
      <c r="P1794" s="3"/>
      <c r="Q1794" s="3"/>
      <c r="R1794" s="3"/>
      <c r="S1794" s="3"/>
      <c r="T1794" s="3"/>
      <c r="U1794" s="3"/>
      <c r="V1794" s="3"/>
      <c r="W1794" s="3"/>
      <c r="X1794" s="3"/>
      <c r="Y1794" s="3"/>
      <c r="Z1794" s="3"/>
    </row>
    <row r="1795" spans="1:26" ht="15.6" x14ac:dyDescent="0.3">
      <c r="A1795" s="18" t="s">
        <v>23</v>
      </c>
      <c r="B1795" s="25" t="s">
        <v>1795</v>
      </c>
      <c r="C1795" s="2" t="str">
        <f ca="1">IFERROR(__xludf.DUMMYFUNCTION("GOOGLETRANSLATE(B1795, ""bn"", ""en"")"),"I respect the Bible, the Gita, all religious books, and regretfully condemning the Muslims for burning the Quran and creating a different paradigm.")</f>
        <v>I respect the Bible, the Gita, all religious books, and regretfully condemning the Muslims for burning the Quran and creating a different paradigm.</v>
      </c>
      <c r="D1795" s="5"/>
      <c r="E1795" s="5"/>
      <c r="F1795" s="5"/>
      <c r="G1795" s="5"/>
      <c r="H1795" s="5"/>
      <c r="I1795" s="5"/>
      <c r="J1795" s="5"/>
      <c r="K1795" s="5"/>
      <c r="L1795" s="5"/>
      <c r="M1795" s="5"/>
      <c r="N1795" s="5"/>
      <c r="O1795" s="5"/>
      <c r="P1795" s="5"/>
      <c r="Q1795" s="5"/>
      <c r="R1795" s="5"/>
      <c r="S1795" s="5"/>
      <c r="T1795" s="5"/>
      <c r="U1795" s="5"/>
      <c r="V1795" s="5"/>
      <c r="W1795" s="5"/>
      <c r="X1795" s="5"/>
      <c r="Y1795" s="5"/>
      <c r="Z1795" s="5"/>
    </row>
    <row r="1796" spans="1:26" ht="15.6" x14ac:dyDescent="0.3">
      <c r="A1796" s="18" t="s">
        <v>3</v>
      </c>
      <c r="B1796" s="25" t="s">
        <v>1796</v>
      </c>
      <c r="C1796" s="2" t="str">
        <f ca="1">IFERROR(__xludf.DUMMYFUNCTION("GOOGLETRANSLATE(B1796, ""bn"", ""en"")"),"According to Islamic belief, the time and place of death of all creatures is predetermined and only Allah knows the time of its death.")</f>
        <v>According to Islamic belief, the time and place of death of all creatures is predetermined and only Allah knows the time of its death.</v>
      </c>
      <c r="D1796" s="5"/>
      <c r="E1796" s="5"/>
      <c r="F1796" s="5"/>
      <c r="G1796" s="5"/>
      <c r="H1796" s="5"/>
      <c r="I1796" s="5"/>
      <c r="J1796" s="5"/>
      <c r="K1796" s="5"/>
      <c r="L1796" s="5"/>
      <c r="M1796" s="5"/>
      <c r="N1796" s="5"/>
      <c r="O1796" s="5"/>
      <c r="P1796" s="5"/>
      <c r="Q1796" s="5"/>
      <c r="R1796" s="5"/>
      <c r="S1796" s="5"/>
      <c r="T1796" s="5"/>
      <c r="U1796" s="5"/>
      <c r="V1796" s="5"/>
      <c r="W1796" s="5"/>
      <c r="X1796" s="5"/>
      <c r="Y1796" s="5"/>
      <c r="Z1796" s="5"/>
    </row>
    <row r="1797" spans="1:26" ht="15.6" x14ac:dyDescent="0.3">
      <c r="A1797" s="19" t="s">
        <v>3</v>
      </c>
      <c r="B1797" s="26" t="s">
        <v>1797</v>
      </c>
      <c r="C1797" s="2" t="str">
        <f ca="1">IFERROR(__xludf.DUMMYFUNCTION("GOOGLETRANSLATE(B1797, ""bn"", ""en"")"),"May Hare Krishna Govinda bless you, and may all benefit — your words have instructive messages, which should be understood by all.")</f>
        <v>May Hare Krishna Govinda bless you, and may all benefit — your words have instructive messages, which should be understood by all.</v>
      </c>
      <c r="D1797" s="7"/>
      <c r="E1797" s="7"/>
      <c r="F1797" s="7"/>
      <c r="G1797" s="7"/>
      <c r="H1797" s="7"/>
      <c r="I1797" s="7"/>
      <c r="J1797" s="5"/>
      <c r="K1797" s="5"/>
      <c r="L1797" s="5"/>
      <c r="M1797" s="5"/>
      <c r="N1797" s="5"/>
      <c r="O1797" s="5"/>
      <c r="P1797" s="5"/>
      <c r="Q1797" s="5"/>
      <c r="R1797" s="5"/>
      <c r="S1797" s="5"/>
      <c r="T1797" s="5"/>
      <c r="U1797" s="5"/>
      <c r="V1797" s="5"/>
      <c r="W1797" s="5"/>
      <c r="X1797" s="5"/>
      <c r="Y1797" s="5"/>
      <c r="Z1797" s="5"/>
    </row>
    <row r="1798" spans="1:26" ht="15.6" x14ac:dyDescent="0.3">
      <c r="A1798" s="18" t="s">
        <v>8</v>
      </c>
      <c r="B1798" s="25" t="s">
        <v>1798</v>
      </c>
      <c r="C1798" s="2" t="str">
        <f ca="1">IFERROR(__xludf.DUMMYFUNCTION("GOOGLETRANSLATE(B1798, ""bn"", ""en"")"),"Innocent Muslims are brutally oppressed because of their religious identity. Even water for ablution is not available. The land is stained with the blood of women and children, but the world is silent. Bangladesh is suffering.")</f>
        <v>Innocent Muslims are brutally oppressed because of their religious identity. Even water for ablution is not available. The land is stained with the blood of women and children, but the world is silent. Bangladesh is suffering.</v>
      </c>
      <c r="D1798" s="5"/>
      <c r="E1798" s="5"/>
      <c r="F1798" s="5"/>
      <c r="G1798" s="5"/>
      <c r="H1798" s="5"/>
      <c r="I1798" s="5"/>
      <c r="J1798" s="5"/>
      <c r="K1798" s="5"/>
      <c r="L1798" s="5"/>
      <c r="M1798" s="5"/>
      <c r="N1798" s="5"/>
      <c r="O1798" s="5"/>
      <c r="P1798" s="5"/>
      <c r="Q1798" s="5"/>
      <c r="R1798" s="5"/>
      <c r="S1798" s="5"/>
      <c r="T1798" s="5"/>
      <c r="U1798" s="5"/>
      <c r="V1798" s="5"/>
      <c r="W1798" s="5"/>
      <c r="X1798" s="5"/>
      <c r="Y1798" s="5"/>
      <c r="Z1798" s="5"/>
    </row>
    <row r="1799" spans="1:26" ht="15.6" x14ac:dyDescent="0.3">
      <c r="A1799" s="18" t="s">
        <v>23</v>
      </c>
      <c r="B1799" s="25" t="s">
        <v>1799</v>
      </c>
      <c r="C1799" s="2" t="str">
        <f ca="1">IFERROR(__xludf.DUMMYFUNCTION("GOOGLETRANSLATE(B1799, ""bn"", ""en"")"),"If we men (brothers, fathers, samira) had been aware, this plight would not have arisen that girls are not fasting.""")</f>
        <v>If we men (brothers, fathers, samira) had been aware, this plight would not have arisen that girls are not fasting."</v>
      </c>
      <c r="D1799" s="5"/>
      <c r="E1799" s="5"/>
      <c r="F1799" s="5"/>
      <c r="G1799" s="5"/>
      <c r="H1799" s="5"/>
      <c r="I1799" s="5"/>
      <c r="J1799" s="5"/>
      <c r="K1799" s="5"/>
      <c r="L1799" s="5"/>
      <c r="M1799" s="5"/>
      <c r="N1799" s="5"/>
      <c r="O1799" s="5"/>
      <c r="P1799" s="5"/>
      <c r="Q1799" s="5"/>
      <c r="R1799" s="5"/>
      <c r="S1799" s="5"/>
      <c r="T1799" s="5"/>
      <c r="U1799" s="5"/>
      <c r="V1799" s="5"/>
      <c r="W1799" s="5"/>
      <c r="X1799" s="5"/>
      <c r="Y1799" s="5"/>
      <c r="Z1799" s="5"/>
    </row>
    <row r="1800" spans="1:26" ht="15.6" x14ac:dyDescent="0.3">
      <c r="A1800" s="19" t="s">
        <v>23</v>
      </c>
      <c r="B1800" s="26" t="s">
        <v>1800</v>
      </c>
      <c r="C1800" s="2" t="str">
        <f ca="1">IFERROR(__xludf.DUMMYFUNCTION("GOOGLETRANSLATE(B1800, ""bn"", ""en"")"),"We hold the Qur'an in our hearts. There will be severe protests against those who devalue the Qur'an. Those Kulangars will be given a stern reply.")</f>
        <v>We hold the Qur'an in our hearts. There will be severe protests against those who devalue the Qur'an. Those Kulangars will be given a stern reply.</v>
      </c>
      <c r="D1800" s="5"/>
      <c r="E1800" s="5"/>
      <c r="F1800" s="5"/>
      <c r="G1800" s="5"/>
      <c r="H1800" s="5"/>
      <c r="I1800" s="5"/>
      <c r="J1800" s="5"/>
      <c r="K1800" s="5"/>
      <c r="L1800" s="5"/>
      <c r="M1800" s="5"/>
      <c r="N1800" s="5"/>
      <c r="O1800" s="5"/>
      <c r="P1800" s="5"/>
      <c r="Q1800" s="5"/>
      <c r="R1800" s="5"/>
      <c r="S1800" s="5"/>
      <c r="T1800" s="5"/>
      <c r="U1800" s="5"/>
      <c r="V1800" s="5"/>
      <c r="W1800" s="5"/>
      <c r="X1800" s="5"/>
      <c r="Y1800" s="5"/>
      <c r="Z1800" s="5"/>
    </row>
    <row r="1801" spans="1:26" ht="15.6" x14ac:dyDescent="0.3">
      <c r="A1801" s="18" t="s">
        <v>5</v>
      </c>
      <c r="B1801" s="24" t="s">
        <v>1801</v>
      </c>
      <c r="C1801" s="2" t="str">
        <f ca="1">IFERROR(__xludf.DUMMYFUNCTION("GOOGLETRANSLATE(B1801, ""bn"", ""en"")"),"At least 34 people were killed in Hindu-Muslim riots in Magura and both temples and mosques were damaged.")</f>
        <v>At least 34 people were killed in Hindu-Muslim riots in Magura and both temples and mosques were damaged.</v>
      </c>
      <c r="D1801" s="5"/>
      <c r="E1801" s="5"/>
      <c r="F1801" s="5"/>
      <c r="G1801" s="5"/>
      <c r="H1801" s="5"/>
      <c r="I1801" s="5"/>
      <c r="J1801" s="5"/>
      <c r="K1801" s="5"/>
      <c r="L1801" s="5"/>
      <c r="M1801" s="5"/>
      <c r="N1801" s="5"/>
      <c r="O1801" s="5"/>
      <c r="P1801" s="5"/>
      <c r="Q1801" s="5"/>
      <c r="R1801" s="5"/>
      <c r="S1801" s="5"/>
      <c r="T1801" s="5"/>
      <c r="U1801" s="5"/>
      <c r="V1801" s="5"/>
      <c r="W1801" s="5"/>
      <c r="X1801" s="5"/>
      <c r="Y1801" s="5"/>
      <c r="Z1801" s="5"/>
    </row>
    <row r="1802" spans="1:26" ht="15.6" x14ac:dyDescent="0.3">
      <c r="A1802" s="18" t="s">
        <v>3</v>
      </c>
      <c r="B1802" s="25" t="s">
        <v>1802</v>
      </c>
      <c r="C1802" s="2" t="str">
        <f ca="1">IFERROR(__xludf.DUMMYFUNCTION("GOOGLETRANSLATE(B1802, ""bn"", ""en"")"),"On this day, besides worshiping the Buddha, the Buddha prays Panchasila, Ashtasila, Sutrapatha, Sutrashravan, Samveta [1]. This day is very important to Buddhists as well as Hindus. Because Gautama Buddha is considered as the ninth incarnation of Lord Vis"&amp;"hnu according to Hinduism.")</f>
        <v>On this day, besides worshiping the Buddha, the Buddha prays Panchasila, Ashtasila, Sutrapatha, Sutrashravan, Samveta [1]. This day is very important to Buddhists as well as Hindus. Because Gautama Buddha is considered as the ninth incarnation of Lord Vishnu according to Hinduism.</v>
      </c>
      <c r="D1802" s="5"/>
      <c r="E1802" s="5"/>
      <c r="F1802" s="5"/>
      <c r="G1802" s="5"/>
      <c r="H1802" s="5"/>
      <c r="I1802" s="5"/>
      <c r="J1802" s="5"/>
      <c r="K1802" s="5"/>
      <c r="L1802" s="5"/>
      <c r="M1802" s="5"/>
      <c r="N1802" s="5"/>
      <c r="O1802" s="5"/>
      <c r="P1802" s="5"/>
      <c r="Q1802" s="5"/>
      <c r="R1802" s="5"/>
      <c r="S1802" s="5"/>
      <c r="T1802" s="5"/>
      <c r="U1802" s="5"/>
      <c r="V1802" s="5"/>
      <c r="W1802" s="5"/>
      <c r="X1802" s="5"/>
      <c r="Y1802" s="5"/>
      <c r="Z1802" s="5"/>
    </row>
    <row r="1803" spans="1:26" ht="15.6" x14ac:dyDescent="0.3">
      <c r="A1803" s="19" t="s">
        <v>5</v>
      </c>
      <c r="B1803" s="26" t="s">
        <v>1803</v>
      </c>
      <c r="C1803" s="2" t="str">
        <f ca="1">IFERROR(__xludf.DUMMYFUNCTION("GOOGLETRANSLATE(B1803, ""bn"", ""en"")"),"Even before last 10 to 15 years there was a kind of belief that the worshipers of Satan are organized, secretive and they conspire in secret, they commit various immoral activities like killing people, torturing animals and raping children in the name of "&amp;"Satan.")</f>
        <v>Even before last 10 to 15 years there was a kind of belief that the worshipers of Satan are organized, secretive and they conspire in secret, they commit various immoral activities like killing people, torturing animals and raping children in the name of Satan.</v>
      </c>
      <c r="D1803" s="5"/>
      <c r="E1803" s="5"/>
      <c r="F1803" s="5"/>
      <c r="G1803" s="5"/>
      <c r="H1803" s="5"/>
      <c r="I1803" s="5"/>
      <c r="J1803" s="5"/>
      <c r="K1803" s="5"/>
      <c r="L1803" s="5"/>
      <c r="M1803" s="5"/>
      <c r="N1803" s="5"/>
      <c r="O1803" s="5"/>
      <c r="P1803" s="5"/>
      <c r="Q1803" s="5"/>
      <c r="R1803" s="5"/>
      <c r="S1803" s="5"/>
      <c r="T1803" s="5"/>
      <c r="U1803" s="5"/>
      <c r="V1803" s="5"/>
      <c r="W1803" s="5"/>
      <c r="X1803" s="5"/>
      <c r="Y1803" s="5"/>
      <c r="Z1803" s="5"/>
    </row>
    <row r="1804" spans="1:26" ht="15.6" x14ac:dyDescent="0.3">
      <c r="A1804" s="19" t="s">
        <v>23</v>
      </c>
      <c r="B1804" s="26" t="s">
        <v>1804</v>
      </c>
      <c r="C1804" s="2" t="str">
        <f ca="1">IFERROR(__xludf.DUMMYFUNCTION("GOOGLETRANSLATE(B1804, ""bn"", ""en"")"),"Harsh punishment is demanded for speaking nonsense against our Prophet and Islam.")</f>
        <v>Harsh punishment is demanded for speaking nonsense against our Prophet and Islam.</v>
      </c>
      <c r="D1804" s="7"/>
      <c r="E1804" s="7"/>
      <c r="F1804" s="5"/>
      <c r="G1804" s="5"/>
      <c r="H1804" s="5"/>
      <c r="I1804" s="5"/>
      <c r="J1804" s="5"/>
      <c r="K1804" s="5"/>
      <c r="L1804" s="5"/>
      <c r="M1804" s="5"/>
      <c r="N1804" s="5"/>
      <c r="O1804" s="5"/>
      <c r="P1804" s="5"/>
      <c r="Q1804" s="5"/>
      <c r="R1804" s="5"/>
      <c r="S1804" s="5"/>
      <c r="T1804" s="5"/>
      <c r="U1804" s="5"/>
      <c r="V1804" s="5"/>
      <c r="W1804" s="5"/>
      <c r="X1804" s="5"/>
      <c r="Y1804" s="5"/>
      <c r="Z1804" s="5"/>
    </row>
    <row r="1805" spans="1:26" ht="15.6" x14ac:dyDescent="0.3">
      <c r="A1805" s="18" t="s">
        <v>3</v>
      </c>
      <c r="B1805" s="25" t="s">
        <v>1805</v>
      </c>
      <c r="C1805" s="2" t="str">
        <f ca="1">IFERROR(__xludf.DUMMYFUNCTION("GOOGLETRANSLATE(B1805, ""bn"", ""en"")"),"A huge chariot in the shape of a peacock is made in a special way and a Buddha image is placed on it. Buddhist men and women, children and teenagers, young people light candles and pay respect to Buddha.")</f>
        <v>A huge chariot in the shape of a peacock is made in a special way and a Buddha image is placed on it. Buddhist men and women, children and teenagers, young people light candles and pay respect to Buddha.</v>
      </c>
      <c r="D1805" s="6"/>
      <c r="E1805" s="2"/>
      <c r="F1805" s="2"/>
      <c r="G1805" s="2"/>
      <c r="H1805" s="5"/>
      <c r="I1805" s="5"/>
      <c r="J1805" s="5"/>
      <c r="K1805" s="5"/>
      <c r="L1805" s="5"/>
      <c r="M1805" s="5"/>
      <c r="N1805" s="5"/>
      <c r="O1805" s="5"/>
      <c r="P1805" s="5"/>
      <c r="Q1805" s="5"/>
      <c r="R1805" s="5"/>
      <c r="S1805" s="5"/>
      <c r="T1805" s="5"/>
      <c r="U1805" s="5"/>
      <c r="V1805" s="5"/>
      <c r="W1805" s="5"/>
      <c r="X1805" s="5"/>
      <c r="Y1805" s="5"/>
      <c r="Z1805" s="5"/>
    </row>
    <row r="1806" spans="1:26" ht="15.6" x14ac:dyDescent="0.3">
      <c r="A1806" s="18" t="s">
        <v>3</v>
      </c>
      <c r="B1806" s="25" t="s">
        <v>1806</v>
      </c>
      <c r="C1806" s="2" t="str">
        <f ca="1">IFERROR(__xludf.DUMMYFUNCTION("GOOGLETRANSLATE(B1806, ""bn"", ""en"")"),"Fate controls people's lives. Allah says, 'It (predestination) is so that you do not grieve over what you have lost and rejoice over what He has given you. Allah does not like the arrogant and arrogant.")</f>
        <v>Fate controls people's lives. Allah says, 'It (predestination) is so that you do not grieve over what you have lost and rejoice over what He has given you. Allah does not like the arrogant and arrogant.</v>
      </c>
      <c r="D1806" s="5"/>
      <c r="E1806" s="5"/>
      <c r="F1806" s="5"/>
      <c r="G1806" s="5"/>
      <c r="H1806" s="5"/>
      <c r="I1806" s="5"/>
      <c r="J1806" s="5"/>
      <c r="K1806" s="5"/>
      <c r="L1806" s="5"/>
      <c r="M1806" s="5"/>
      <c r="N1806" s="5"/>
      <c r="O1806" s="5"/>
      <c r="P1806" s="5"/>
      <c r="Q1806" s="5"/>
      <c r="R1806" s="5"/>
      <c r="S1806" s="5"/>
      <c r="T1806" s="5"/>
      <c r="U1806" s="5"/>
      <c r="V1806" s="5"/>
      <c r="W1806" s="5"/>
      <c r="X1806" s="5"/>
      <c r="Y1806" s="5"/>
      <c r="Z1806" s="5"/>
    </row>
    <row r="1807" spans="1:26" ht="15.6" x14ac:dyDescent="0.3">
      <c r="A1807" s="18" t="s">
        <v>3</v>
      </c>
      <c r="B1807" s="25" t="s">
        <v>1807</v>
      </c>
      <c r="C1807" s="2" t="str">
        <f ca="1">IFERROR(__xludf.DUMMYFUNCTION("GOOGLETRANSLATE(B1807, ""bn"", ""en"")"),"It cannot be asserted that the Buddhists in Chittagong will remain in peace for much longer, given the recent riots at Ramu and elsewhere.)")</f>
        <v>It cannot be asserted that the Buddhists in Chittagong will remain in peace for much longer, given the recent riots at Ramu and elsewhere.)</v>
      </c>
      <c r="D1807" s="7"/>
      <c r="E1807" s="5"/>
      <c r="F1807" s="5"/>
      <c r="G1807" s="5"/>
      <c r="H1807" s="5"/>
      <c r="I1807" s="5"/>
      <c r="J1807" s="5"/>
      <c r="K1807" s="5"/>
      <c r="L1807" s="5"/>
      <c r="M1807" s="5"/>
      <c r="N1807" s="5"/>
      <c r="O1807" s="5"/>
      <c r="P1807" s="5"/>
      <c r="Q1807" s="5"/>
      <c r="R1807" s="5"/>
      <c r="S1807" s="5"/>
      <c r="T1807" s="5"/>
      <c r="U1807" s="5"/>
      <c r="V1807" s="5"/>
      <c r="W1807" s="5"/>
      <c r="X1807" s="5"/>
      <c r="Y1807" s="5"/>
      <c r="Z1807" s="5"/>
    </row>
    <row r="1808" spans="1:26" ht="15.6" x14ac:dyDescent="0.3">
      <c r="A1808" s="18" t="s">
        <v>23</v>
      </c>
      <c r="B1808" s="25" t="s">
        <v>1808</v>
      </c>
      <c r="C1808" s="2" t="str">
        <f ca="1">IFERROR(__xludf.DUMMYFUNCTION("GOOGLETRANSLATE(B1808, ""bn"", ""en"")"),"They walk in western clothes. And the Islamic dress burns them.")</f>
        <v>They walk in western clothes. And the Islamic dress burns them.</v>
      </c>
      <c r="D1808" s="5"/>
      <c r="E1808" s="5"/>
      <c r="F1808" s="5"/>
      <c r="G1808" s="5"/>
      <c r="H1808" s="5"/>
      <c r="I1808" s="5"/>
      <c r="J1808" s="5"/>
      <c r="K1808" s="5"/>
      <c r="L1808" s="5"/>
      <c r="M1808" s="5"/>
      <c r="N1808" s="5"/>
      <c r="O1808" s="5"/>
      <c r="P1808" s="5"/>
      <c r="Q1808" s="5"/>
      <c r="R1808" s="5"/>
      <c r="S1808" s="5"/>
      <c r="T1808" s="5"/>
      <c r="U1808" s="5"/>
      <c r="V1808" s="5"/>
      <c r="W1808" s="5"/>
      <c r="X1808" s="5"/>
      <c r="Y1808" s="5"/>
      <c r="Z1808" s="5"/>
    </row>
    <row r="1809" spans="1:26" ht="15.6" x14ac:dyDescent="0.3">
      <c r="A1809" s="18" t="s">
        <v>8</v>
      </c>
      <c r="B1809" s="24" t="s">
        <v>1809</v>
      </c>
      <c r="C1809" s="2" t="str">
        <f ca="1">IFERROR(__xludf.DUMMYFUNCTION("GOOGLETRANSLATE(B1809, ""bn"", ""en"")"),"A Buddhist monastery in Brahmanbaria was raided in the evening and religious books were torn up, causing panic among the Buddhist community.")</f>
        <v>A Buddhist monastery in Brahmanbaria was raided in the evening and religious books were torn up, causing panic among the Buddhist community.</v>
      </c>
      <c r="D1809" s="5"/>
      <c r="E1809" s="5"/>
      <c r="F1809" s="5"/>
      <c r="G1809" s="5"/>
      <c r="H1809" s="5"/>
      <c r="I1809" s="5"/>
      <c r="J1809" s="5"/>
      <c r="K1809" s="5"/>
      <c r="L1809" s="5"/>
      <c r="M1809" s="5"/>
      <c r="N1809" s="5"/>
      <c r="O1809" s="5"/>
      <c r="P1809" s="5"/>
      <c r="Q1809" s="5"/>
      <c r="R1809" s="5"/>
      <c r="S1809" s="5"/>
      <c r="T1809" s="5"/>
      <c r="U1809" s="5"/>
      <c r="V1809" s="5"/>
      <c r="W1809" s="5"/>
      <c r="X1809" s="5"/>
      <c r="Y1809" s="5"/>
      <c r="Z1809" s="5"/>
    </row>
    <row r="1810" spans="1:26" ht="15.6" x14ac:dyDescent="0.3">
      <c r="A1810" s="18" t="s">
        <v>8</v>
      </c>
      <c r="B1810" s="25" t="s">
        <v>1810</v>
      </c>
      <c r="C1810" s="2" t="str">
        <f ca="1">IFERROR(__xludf.DUMMYFUNCTION("GOOGLETRANSLATE(B1810, ""bn"", ""en"")"),"Attacks on the homes and temples of Hindus in Bangladesh set an example of infernal looting and persecution on religious incitement.")</f>
        <v>Attacks on the homes and temples of Hindus in Bangladesh set an example of infernal looting and persecution on religious incitement.</v>
      </c>
      <c r="D1810" s="5"/>
      <c r="E1810" s="5"/>
      <c r="F1810" s="5"/>
      <c r="G1810" s="5"/>
      <c r="H1810" s="5"/>
      <c r="I1810" s="5"/>
      <c r="J1810" s="5"/>
      <c r="K1810" s="5"/>
      <c r="L1810" s="5"/>
      <c r="M1810" s="5"/>
      <c r="N1810" s="5"/>
      <c r="O1810" s="5"/>
      <c r="P1810" s="5"/>
      <c r="Q1810" s="5"/>
      <c r="R1810" s="5"/>
      <c r="S1810" s="5"/>
      <c r="T1810" s="5"/>
      <c r="U1810" s="5"/>
      <c r="V1810" s="5"/>
      <c r="W1810" s="5"/>
      <c r="X1810" s="5"/>
      <c r="Y1810" s="5"/>
      <c r="Z1810" s="5"/>
    </row>
    <row r="1811" spans="1:26" ht="15.6" x14ac:dyDescent="0.3">
      <c r="A1811" s="18" t="s">
        <v>3</v>
      </c>
      <c r="B1811" s="25" t="s">
        <v>1811</v>
      </c>
      <c r="C1811" s="2" t="str">
        <f ca="1">IFERROR(__xludf.DUMMYFUNCTION("GOOGLETRANSLATE(B1811, ""bn"", ""en"")"),"All adult Muslims have to do it at least once in their life if they are physically and financially able and their family is able to support themselves in the absence of the pilgrim.")</f>
        <v>All adult Muslims have to do it at least once in their life if they are physically and financially able and their family is able to support themselves in the absence of the pilgrim.</v>
      </c>
      <c r="D1811" s="7"/>
      <c r="E1811" s="7"/>
      <c r="F1811" s="7"/>
      <c r="G1811" s="7"/>
      <c r="H1811" s="7"/>
      <c r="I1811" s="5"/>
      <c r="J1811" s="5"/>
      <c r="K1811" s="5"/>
      <c r="L1811" s="5"/>
      <c r="M1811" s="5"/>
      <c r="N1811" s="5"/>
      <c r="O1811" s="5"/>
      <c r="P1811" s="5"/>
      <c r="Q1811" s="5"/>
      <c r="R1811" s="5"/>
      <c r="S1811" s="5"/>
      <c r="T1811" s="5"/>
      <c r="U1811" s="5"/>
      <c r="V1811" s="5"/>
      <c r="W1811" s="5"/>
      <c r="X1811" s="5"/>
      <c r="Y1811" s="5"/>
      <c r="Z1811" s="5"/>
    </row>
    <row r="1812" spans="1:26" ht="15.6" x14ac:dyDescent="0.3">
      <c r="A1812" s="18" t="s">
        <v>5</v>
      </c>
      <c r="B1812" s="25" t="s">
        <v>1812</v>
      </c>
      <c r="C1812" s="2" t="str">
        <f ca="1">IFERROR(__xludf.DUMMYFUNCTION("GOOGLETRANSLATE(B1812, ""bn"", ""en"")"),"The Muslim world will witness the dawning of a new horizon. In the words of the poet, ""Islam zinda hota hay har karbala ke baad."" The death of Hussain is actually the death of Yazid, because Islam is revived after every Karbala.")</f>
        <v>The Muslim world will witness the dawning of a new horizon. In the words of the poet, "Islam zinda hota hay har karbala ke baad." The death of Hussain is actually the death of Yazid, because Islam is revived after every Karbala.</v>
      </c>
      <c r="D1812" s="5"/>
      <c r="E1812" s="5"/>
      <c r="F1812" s="5"/>
      <c r="G1812" s="5"/>
      <c r="H1812" s="5"/>
      <c r="I1812" s="5"/>
      <c r="J1812" s="5"/>
      <c r="K1812" s="5"/>
      <c r="L1812" s="5"/>
      <c r="M1812" s="5"/>
      <c r="N1812" s="5"/>
      <c r="O1812" s="5"/>
      <c r="P1812" s="5"/>
      <c r="Q1812" s="5"/>
      <c r="R1812" s="5"/>
      <c r="S1812" s="5"/>
      <c r="T1812" s="5"/>
      <c r="U1812" s="5"/>
      <c r="V1812" s="5"/>
      <c r="W1812" s="5"/>
      <c r="X1812" s="5"/>
      <c r="Y1812" s="5"/>
      <c r="Z1812" s="5"/>
    </row>
    <row r="1813" spans="1:26" ht="15.6" x14ac:dyDescent="0.3">
      <c r="A1813" s="18" t="s">
        <v>5</v>
      </c>
      <c r="B1813" s="24" t="s">
        <v>1813</v>
      </c>
      <c r="C1813" s="2" t="str">
        <f ca="1">IFERROR(__xludf.DUMMYFUNCTION("GOOGLETRANSLATE(B1813, ""bn"", ""en"")"),"Communal violence erupted between Hindu and Muslim communities in Tangail, resulting in the deaths of 32 people. Both mosques and temples were damaged.")</f>
        <v>Communal violence erupted between Hindu and Muslim communities in Tangail, resulting in the deaths of 32 people. Both mosques and temples were damaged.</v>
      </c>
      <c r="D1813" s="5"/>
      <c r="E1813" s="5"/>
      <c r="F1813" s="5"/>
      <c r="G1813" s="5"/>
      <c r="H1813" s="5"/>
      <c r="I1813" s="5"/>
      <c r="J1813" s="5"/>
      <c r="K1813" s="5"/>
      <c r="L1813" s="5"/>
      <c r="M1813" s="5"/>
      <c r="N1813" s="5"/>
      <c r="O1813" s="5"/>
      <c r="P1813" s="5"/>
      <c r="Q1813" s="5"/>
      <c r="R1813" s="5"/>
      <c r="S1813" s="5"/>
      <c r="T1813" s="5"/>
      <c r="U1813" s="5"/>
      <c r="V1813" s="5"/>
      <c r="W1813" s="5"/>
      <c r="X1813" s="5"/>
      <c r="Y1813" s="5"/>
      <c r="Z1813" s="5"/>
    </row>
    <row r="1814" spans="1:26" ht="15.6" x14ac:dyDescent="0.3">
      <c r="A1814" s="19" t="s">
        <v>23</v>
      </c>
      <c r="B1814" s="26" t="s">
        <v>1814</v>
      </c>
      <c r="C1814" s="2" t="str">
        <f ca="1">IFERROR(__xludf.DUMMYFUNCTION("GOOGLETRANSLATE(B1814, ""bn"", ""en"")"),"Silence is observed during attacks on unarmed Muslims praying, it doesn't matter if only Muslims are the victims.")</f>
        <v>Silence is observed during attacks on unarmed Muslims praying, it doesn't matter if only Muslims are the victims.</v>
      </c>
      <c r="D1814" s="7"/>
      <c r="E1814" s="7"/>
      <c r="F1814" s="7"/>
      <c r="G1814" s="7"/>
      <c r="H1814" s="7"/>
      <c r="I1814" s="5"/>
      <c r="J1814" s="5"/>
      <c r="K1814" s="5"/>
      <c r="L1814" s="5"/>
      <c r="M1814" s="5"/>
      <c r="N1814" s="5"/>
      <c r="O1814" s="5"/>
      <c r="P1814" s="5"/>
      <c r="Q1814" s="5"/>
      <c r="R1814" s="5"/>
      <c r="S1814" s="5"/>
      <c r="T1814" s="5"/>
      <c r="U1814" s="5"/>
      <c r="V1814" s="5"/>
      <c r="W1814" s="5"/>
      <c r="X1814" s="5"/>
      <c r="Y1814" s="5"/>
      <c r="Z1814" s="5"/>
    </row>
    <row r="1815" spans="1:26" ht="15.6" x14ac:dyDescent="0.3">
      <c r="A1815" s="18" t="s">
        <v>23</v>
      </c>
      <c r="B1815" s="25" t="s">
        <v>1815</v>
      </c>
      <c r="C1815" s="2" t="str">
        <f ca="1">IFERROR(__xludf.DUMMYFUNCTION("GOOGLETRANSLATE(B1815, ""bn"", ""en"")"),"Those who talk about third parties without knowing the facts, we consider them agents of Hindutvaism, I don't know who they are unsectarian, but I call them agents of Hindutvaism.")</f>
        <v>Those who talk about third parties without knowing the facts, we consider them agents of Hindutvaism, I don't know who they are unsectarian, but I call them agents of Hindutvaism.</v>
      </c>
      <c r="D1815" s="2"/>
      <c r="E1815" s="2"/>
      <c r="F1815" s="2"/>
      <c r="G1815" s="2"/>
      <c r="H1815" s="3"/>
      <c r="I1815" s="3"/>
      <c r="J1815" s="3"/>
      <c r="K1815" s="3"/>
      <c r="L1815" s="3"/>
      <c r="M1815" s="3"/>
      <c r="N1815" s="3"/>
      <c r="O1815" s="3"/>
      <c r="P1815" s="3"/>
      <c r="Q1815" s="3"/>
      <c r="R1815" s="3"/>
      <c r="S1815" s="3"/>
      <c r="T1815" s="3"/>
      <c r="U1815" s="3"/>
      <c r="V1815" s="3"/>
      <c r="W1815" s="3"/>
      <c r="X1815" s="3"/>
      <c r="Y1815" s="3"/>
      <c r="Z1815" s="3"/>
    </row>
    <row r="1816" spans="1:26" ht="15.6" x14ac:dyDescent="0.3">
      <c r="A1816" s="18" t="s">
        <v>5</v>
      </c>
      <c r="B1816" s="25" t="s">
        <v>1816</v>
      </c>
      <c r="C1816" s="2" t="str">
        <f ca="1">IFERROR(__xludf.DUMMYFUNCTION("GOOGLETRANSLATE(B1816, ""bn"", ""en"")"),"Widows were forced into satira in the name of religious practices where suicide and killing of women was a cruel consequence of political machinations of power-hungry men.")</f>
        <v>Widows were forced into satira in the name of religious practices where suicide and killing of women was a cruel consequence of political machinations of power-hungry men.</v>
      </c>
      <c r="D1816" s="5"/>
      <c r="E1816" s="5"/>
      <c r="F1816" s="5"/>
      <c r="G1816" s="5"/>
      <c r="H1816" s="5"/>
      <c r="I1816" s="5"/>
      <c r="J1816" s="5"/>
      <c r="K1816" s="5"/>
      <c r="L1816" s="5"/>
      <c r="M1816" s="5"/>
      <c r="N1816" s="5"/>
      <c r="O1816" s="5"/>
      <c r="P1816" s="5"/>
      <c r="Q1816" s="5"/>
      <c r="R1816" s="5"/>
      <c r="S1816" s="5"/>
      <c r="T1816" s="5"/>
      <c r="U1816" s="5"/>
      <c r="V1816" s="5"/>
      <c r="W1816" s="5"/>
      <c r="X1816" s="5"/>
      <c r="Y1816" s="5"/>
      <c r="Z1816" s="5"/>
    </row>
    <row r="1817" spans="1:26" ht="15.6" x14ac:dyDescent="0.3">
      <c r="A1817" s="18" t="s">
        <v>8</v>
      </c>
      <c r="B1817" s="25" t="s">
        <v>1817</v>
      </c>
      <c r="C1817" s="2" t="str">
        <f ca="1">IFERROR(__xludf.DUMMYFUNCTION("GOOGLETRANSLATE(B1817, ""bn"", ""en"")"),"The competition to demolish mosques is now country to country. Because, when people become careless and engage in sinful activities, nature itself takes severe punishment steps.")</f>
        <v>The competition to demolish mosques is now country to country. Because, when people become careless and engage in sinful activities, nature itself takes severe punishment steps.</v>
      </c>
      <c r="D1817" s="2"/>
      <c r="E1817" s="2"/>
      <c r="F1817" s="2"/>
      <c r="G1817" s="2"/>
      <c r="H1817" s="5"/>
      <c r="I1817" s="5"/>
      <c r="J1817" s="5"/>
      <c r="K1817" s="5"/>
      <c r="L1817" s="5"/>
      <c r="M1817" s="5"/>
      <c r="N1817" s="5"/>
      <c r="O1817" s="5"/>
      <c r="P1817" s="5"/>
      <c r="Q1817" s="5"/>
      <c r="R1817" s="5"/>
      <c r="S1817" s="5"/>
      <c r="T1817" s="5"/>
      <c r="U1817" s="5"/>
      <c r="V1817" s="5"/>
      <c r="W1817" s="5"/>
      <c r="X1817" s="5"/>
      <c r="Y1817" s="5"/>
      <c r="Z1817" s="5"/>
    </row>
    <row r="1818" spans="1:26" ht="15.6" x14ac:dyDescent="0.3">
      <c r="A1818" s="18" t="s">
        <v>8</v>
      </c>
      <c r="B1818" s="25" t="s">
        <v>1818</v>
      </c>
      <c r="C1818" s="2" t="str">
        <f ca="1">IFERROR(__xludf.DUMMYFUNCTION("GOOGLETRANSLATE(B1818, ""bn"", ""en"")"),"A week of religious violence turned the entire city into a battleground, but despite the presence of sufficient troops, they were brought down too late.")</f>
        <v>A week of religious violence turned the entire city into a battleground, but despite the presence of sufficient troops, they were brought down too late.</v>
      </c>
      <c r="D1818" s="5"/>
      <c r="E1818" s="5"/>
      <c r="F1818" s="5"/>
      <c r="G1818" s="5"/>
      <c r="H1818" s="5"/>
      <c r="I1818" s="5"/>
      <c r="J1818" s="5"/>
      <c r="K1818" s="5"/>
      <c r="L1818" s="5"/>
      <c r="M1818" s="5"/>
      <c r="N1818" s="5"/>
      <c r="O1818" s="5"/>
      <c r="P1818" s="5"/>
      <c r="Q1818" s="5"/>
      <c r="R1818" s="5"/>
      <c r="S1818" s="5"/>
      <c r="T1818" s="5"/>
      <c r="U1818" s="5"/>
      <c r="V1818" s="5"/>
      <c r="W1818" s="5"/>
      <c r="X1818" s="5"/>
      <c r="Y1818" s="5"/>
      <c r="Z1818" s="5"/>
    </row>
    <row r="1819" spans="1:26" ht="15.6" x14ac:dyDescent="0.3">
      <c r="A1819" s="18" t="s">
        <v>23</v>
      </c>
      <c r="B1819" s="25" t="s">
        <v>1819</v>
      </c>
      <c r="C1819" s="2" t="str">
        <f ca="1">IFERROR(__xludf.DUMMYFUNCTION("GOOGLETRANSLATE(B1819, ""bn"", ""en"")"),"Some people burn when they see the truth of all the facts of the science of Islam.")</f>
        <v>Some people burn when they see the truth of all the facts of the science of Islam.</v>
      </c>
      <c r="D1819" s="5"/>
      <c r="E1819" s="5"/>
      <c r="F1819" s="5"/>
      <c r="G1819" s="5"/>
      <c r="H1819" s="5"/>
      <c r="I1819" s="5"/>
      <c r="J1819" s="5"/>
      <c r="K1819" s="5"/>
      <c r="L1819" s="5"/>
      <c r="M1819" s="5"/>
      <c r="N1819" s="5"/>
      <c r="O1819" s="5"/>
      <c r="P1819" s="5"/>
      <c r="Q1819" s="5"/>
      <c r="R1819" s="5"/>
      <c r="S1819" s="5"/>
      <c r="T1819" s="5"/>
      <c r="U1819" s="5"/>
      <c r="V1819" s="5"/>
      <c r="W1819" s="5"/>
      <c r="X1819" s="5"/>
      <c r="Y1819" s="5"/>
      <c r="Z1819" s="5"/>
    </row>
    <row r="1820" spans="1:26" ht="15.6" x14ac:dyDescent="0.3">
      <c r="A1820" s="18" t="s">
        <v>3</v>
      </c>
      <c r="B1820" s="25" t="s">
        <v>1820</v>
      </c>
      <c r="C1820" s="2" t="str">
        <f ca="1">IFERROR(__xludf.DUMMYFUNCTION("GOOGLETRANSLATE(B1820, ""bn"", ""en"")"),"This technology was initially used after the rise of Muslim dominance in Shimulpur and Charnagarpur.")</f>
        <v>This technology was initially used after the rise of Muslim dominance in Shimulpur and Charnagarpur.</v>
      </c>
      <c r="D1820" s="2"/>
      <c r="E1820" s="2"/>
      <c r="F1820" s="2"/>
      <c r="G1820" s="2"/>
      <c r="H1820" s="5"/>
      <c r="I1820" s="5"/>
      <c r="J1820" s="5"/>
      <c r="K1820" s="5"/>
      <c r="L1820" s="5"/>
      <c r="M1820" s="5"/>
      <c r="N1820" s="5"/>
      <c r="O1820" s="5"/>
      <c r="P1820" s="5"/>
      <c r="Q1820" s="5"/>
      <c r="R1820" s="5"/>
      <c r="S1820" s="5"/>
      <c r="T1820" s="5"/>
      <c r="U1820" s="5"/>
      <c r="V1820" s="5"/>
      <c r="W1820" s="5"/>
      <c r="X1820" s="5"/>
      <c r="Y1820" s="5"/>
      <c r="Z1820" s="5"/>
    </row>
    <row r="1821" spans="1:26" ht="15.6" x14ac:dyDescent="0.3">
      <c r="A1821" s="19" t="s">
        <v>8</v>
      </c>
      <c r="B1821" s="26" t="s">
        <v>1821</v>
      </c>
      <c r="C1821" s="2" t="str">
        <f ca="1">IFERROR(__xludf.DUMMYFUNCTION("GOOGLETRANSLATE(B1821, ""bn"", ""en"")"),"Religious and ethnic conflicts between Arab and African ethnic groups have displaced millions.")</f>
        <v>Religious and ethnic conflicts between Arab and African ethnic groups have displaced millions.</v>
      </c>
      <c r="D1821" s="5"/>
      <c r="E1821" s="5"/>
      <c r="F1821" s="5"/>
      <c r="G1821" s="5"/>
      <c r="H1821" s="5"/>
      <c r="I1821" s="5"/>
      <c r="J1821" s="5"/>
      <c r="K1821" s="5"/>
      <c r="L1821" s="5"/>
      <c r="M1821" s="5"/>
      <c r="N1821" s="5"/>
      <c r="O1821" s="5"/>
      <c r="P1821" s="5"/>
      <c r="Q1821" s="5"/>
      <c r="R1821" s="5"/>
      <c r="S1821" s="5"/>
      <c r="T1821" s="5"/>
      <c r="U1821" s="5"/>
      <c r="V1821" s="5"/>
      <c r="W1821" s="5"/>
      <c r="X1821" s="5"/>
      <c r="Y1821" s="5"/>
      <c r="Z1821" s="5"/>
    </row>
    <row r="1822" spans="1:26" ht="15.6" x14ac:dyDescent="0.3">
      <c r="A1822" s="19" t="s">
        <v>5</v>
      </c>
      <c r="B1822" s="26" t="s">
        <v>1822</v>
      </c>
      <c r="C1822" s="2" t="str">
        <f ca="1">IFERROR(__xludf.DUMMYFUNCTION("GOOGLETRANSLATE(B1822, ""bn"", ""en"")"),"On the same day, rioters set fire to a Christian orphanage and gang-raped a 20-year-old Hindu female employee in Khuntapally village of Bargarh district.")</f>
        <v>On the same day, rioters set fire to a Christian orphanage and gang-raped a 20-year-old Hindu female employee in Khuntapally village of Bargarh district.</v>
      </c>
      <c r="D1822" s="7"/>
      <c r="E1822" s="7"/>
      <c r="F1822" s="7"/>
      <c r="G1822" s="7"/>
      <c r="H1822" s="7"/>
      <c r="I1822" s="7"/>
      <c r="J1822" s="7"/>
      <c r="K1822" s="7"/>
      <c r="L1822" s="7"/>
      <c r="M1822" s="7"/>
      <c r="N1822" s="7"/>
      <c r="O1822" s="5"/>
      <c r="P1822" s="5"/>
      <c r="Q1822" s="5"/>
      <c r="R1822" s="5"/>
      <c r="S1822" s="5"/>
      <c r="T1822" s="5"/>
      <c r="U1822" s="5"/>
      <c r="V1822" s="5"/>
      <c r="W1822" s="5"/>
      <c r="X1822" s="5"/>
      <c r="Y1822" s="5"/>
      <c r="Z1822" s="5"/>
    </row>
    <row r="1823" spans="1:26" ht="15.6" x14ac:dyDescent="0.3">
      <c r="A1823" s="19" t="s">
        <v>3</v>
      </c>
      <c r="B1823" s="26" t="s">
        <v>1823</v>
      </c>
      <c r="C1823" s="2" t="str">
        <f ca="1">IFERROR(__xludf.DUMMYFUNCTION("GOOGLETRANSLATE(B1823, ""bn"", ""en"")"),"Quran is the holy book of Islam. It is considered the most sacred book. This is no ordinary book. Rather, Muslims see it as the Word of God Himself and thus give it the utmost respect and importance.")</f>
        <v>Quran is the holy book of Islam. It is considered the most sacred book. This is no ordinary book. Rather, Muslims see it as the Word of God Himself and thus give it the utmost respect and importance.</v>
      </c>
      <c r="D1823" s="5"/>
      <c r="E1823" s="5"/>
      <c r="F1823" s="5"/>
      <c r="G1823" s="5"/>
      <c r="H1823" s="5"/>
      <c r="I1823" s="5"/>
      <c r="J1823" s="5"/>
      <c r="K1823" s="5"/>
      <c r="L1823" s="5"/>
      <c r="M1823" s="5"/>
      <c r="N1823" s="5"/>
      <c r="O1823" s="5"/>
      <c r="P1823" s="5"/>
      <c r="Q1823" s="5"/>
      <c r="R1823" s="5"/>
      <c r="S1823" s="5"/>
      <c r="T1823" s="5"/>
      <c r="U1823" s="5"/>
      <c r="V1823" s="5"/>
      <c r="W1823" s="5"/>
      <c r="X1823" s="5"/>
      <c r="Y1823" s="5"/>
      <c r="Z1823" s="5"/>
    </row>
    <row r="1824" spans="1:26" ht="15.6" x14ac:dyDescent="0.3">
      <c r="A1824" s="19" t="s">
        <v>8</v>
      </c>
      <c r="B1824" s="26" t="s">
        <v>1824</v>
      </c>
      <c r="C1824" s="2" t="str">
        <f ca="1">IFERROR(__xludf.DUMMYFUNCTION("GOOGLETRANSLATE(B1824, ""bn"", ""en"")"),"Durga Pujamandap in Jatrapur Dakshinpara of Muradnagar was attacked and the idol vandalized.")</f>
        <v>Durga Pujamandap in Jatrapur Dakshinpara of Muradnagar was attacked and the idol vandalized.</v>
      </c>
      <c r="D1824" s="7"/>
      <c r="E1824" s="7"/>
      <c r="F1824" s="5"/>
      <c r="G1824" s="5"/>
      <c r="H1824" s="5"/>
      <c r="I1824" s="5"/>
      <c r="J1824" s="5"/>
      <c r="K1824" s="5"/>
      <c r="L1824" s="5"/>
      <c r="M1824" s="5"/>
      <c r="N1824" s="5"/>
      <c r="O1824" s="5"/>
      <c r="P1824" s="5"/>
      <c r="Q1824" s="5"/>
      <c r="R1824" s="5"/>
      <c r="S1824" s="5"/>
      <c r="T1824" s="5"/>
      <c r="U1824" s="5"/>
      <c r="V1824" s="5"/>
      <c r="W1824" s="5"/>
      <c r="X1824" s="5"/>
      <c r="Y1824" s="5"/>
      <c r="Z1824" s="5"/>
    </row>
    <row r="1825" spans="1:26" ht="15.6" x14ac:dyDescent="0.3">
      <c r="A1825" s="18" t="s">
        <v>3</v>
      </c>
      <c r="B1825" s="25" t="s">
        <v>1825</v>
      </c>
      <c r="C1825" s="2" t="str">
        <f ca="1">IFERROR(__xludf.DUMMYFUNCTION("GOOGLETRANSLATE(B1825, ""bn"", ""en"")"),"After the independence of Bangladesh, Manvendra Narayan Larma, a Buddhist Chakma politician of the Chittagong Hill Tracts, raised demands for autonomy and recognition of the rights of the people of the region.")</f>
        <v>After the independence of Bangladesh, Manvendra Narayan Larma, a Buddhist Chakma politician of the Chittagong Hill Tracts, raised demands for autonomy and recognition of the rights of the people of the region.</v>
      </c>
      <c r="D1825" s="2"/>
      <c r="E1825" s="2"/>
      <c r="F1825" s="2"/>
      <c r="G1825" s="2"/>
      <c r="H1825" s="5"/>
      <c r="I1825" s="5"/>
      <c r="J1825" s="5"/>
      <c r="K1825" s="5"/>
      <c r="L1825" s="5"/>
      <c r="M1825" s="5"/>
      <c r="N1825" s="5"/>
      <c r="O1825" s="5"/>
      <c r="P1825" s="5"/>
      <c r="Q1825" s="5"/>
      <c r="R1825" s="5"/>
      <c r="S1825" s="5"/>
      <c r="T1825" s="5"/>
      <c r="U1825" s="5"/>
      <c r="V1825" s="5"/>
      <c r="W1825" s="5"/>
      <c r="X1825" s="5"/>
      <c r="Y1825" s="5"/>
      <c r="Z1825" s="5"/>
    </row>
    <row r="1826" spans="1:26" ht="15.6" x14ac:dyDescent="0.3">
      <c r="A1826" s="18" t="s">
        <v>3</v>
      </c>
      <c r="B1826" s="25" t="s">
        <v>1826</v>
      </c>
      <c r="C1826" s="2" t="str">
        <f ca="1">IFERROR(__xludf.DUMMYFUNCTION("GOOGLETRANSLATE(B1826, ""bn"", ""en"")"),"Gautama Buddha is the best character of the world. He is the ideal of all great men. Budvar ideology is the only way to bring peace to the world.")</f>
        <v>Gautama Buddha is the best character of the world. He is the ideal of all great men. Budvar ideology is the only way to bring peace to the world.</v>
      </c>
      <c r="D1826" s="5"/>
      <c r="E1826" s="5"/>
      <c r="F1826" s="5"/>
      <c r="G1826" s="5"/>
      <c r="H1826" s="5"/>
      <c r="I1826" s="5"/>
      <c r="J1826" s="5"/>
      <c r="K1826" s="5"/>
      <c r="L1826" s="5"/>
      <c r="M1826" s="5"/>
      <c r="N1826" s="5"/>
      <c r="O1826" s="5"/>
      <c r="P1826" s="5"/>
      <c r="Q1826" s="5"/>
      <c r="R1826" s="5"/>
      <c r="S1826" s="5"/>
      <c r="T1826" s="5"/>
      <c r="U1826" s="5"/>
      <c r="V1826" s="5"/>
      <c r="W1826" s="5"/>
      <c r="X1826" s="5"/>
      <c r="Y1826" s="5"/>
      <c r="Z1826" s="5"/>
    </row>
    <row r="1827" spans="1:26" ht="15.6" x14ac:dyDescent="0.3">
      <c r="A1827" s="18" t="s">
        <v>23</v>
      </c>
      <c r="B1827" s="24" t="s">
        <v>1827</v>
      </c>
      <c r="C1827" s="2" t="str">
        <f ca="1">IFERROR(__xludf.DUMMYFUNCTION("GOOGLETRANSLATE(B1827, ""bn"", ""en"")"),"Instead of building good relations with other religions, Buddhists make disparaging comments and create unrest in the society.")</f>
        <v>Instead of building good relations with other religions, Buddhists make disparaging comments and create unrest in the society.</v>
      </c>
      <c r="D1827" s="5"/>
      <c r="E1827" s="5"/>
      <c r="F1827" s="5"/>
      <c r="G1827" s="5"/>
      <c r="H1827" s="5"/>
      <c r="I1827" s="5"/>
      <c r="J1827" s="5"/>
      <c r="K1827" s="5"/>
      <c r="L1827" s="5"/>
      <c r="M1827" s="5"/>
      <c r="N1827" s="5"/>
      <c r="O1827" s="5"/>
      <c r="P1827" s="5"/>
      <c r="Q1827" s="5"/>
      <c r="R1827" s="5"/>
      <c r="S1827" s="5"/>
      <c r="T1827" s="5"/>
      <c r="U1827" s="5"/>
      <c r="V1827" s="5"/>
      <c r="W1827" s="5"/>
      <c r="X1827" s="5"/>
      <c r="Y1827" s="5"/>
      <c r="Z1827" s="5"/>
    </row>
    <row r="1828" spans="1:26" ht="15.6" x14ac:dyDescent="0.3">
      <c r="A1828" s="19" t="s">
        <v>23</v>
      </c>
      <c r="B1828" s="26" t="s">
        <v>1828</v>
      </c>
      <c r="C1828" s="2" t="str">
        <f ca="1">IFERROR(__xludf.DUMMYFUNCTION("GOOGLETRANSLATE(B1828, ""bn"", ""en"")"),"Verily, this is the Qur'an that I have sent down, and Allah will preserve it. I strongly condemn and strongly protest against those who insulted the greatest and best book of the Muslim nation, Al-Quran, at the shrine on the banks of Comilla Nanua Dighi.")</f>
        <v>Verily, this is the Qur'an that I have sent down, and Allah will preserve it. I strongly condemn and strongly protest against those who insulted the greatest and best book of the Muslim nation, Al-Quran, at the shrine on the banks of Comilla Nanua Dighi.</v>
      </c>
      <c r="D1828" s="7"/>
      <c r="E1828" s="5"/>
      <c r="F1828" s="5"/>
      <c r="G1828" s="5"/>
      <c r="H1828" s="5"/>
      <c r="I1828" s="5"/>
      <c r="J1828" s="5"/>
      <c r="K1828" s="5"/>
      <c r="L1828" s="5"/>
      <c r="M1828" s="5"/>
      <c r="N1828" s="5"/>
      <c r="O1828" s="5"/>
      <c r="P1828" s="5"/>
      <c r="Q1828" s="5"/>
      <c r="R1828" s="5"/>
      <c r="S1828" s="5"/>
      <c r="T1828" s="5"/>
      <c r="U1828" s="5"/>
      <c r="V1828" s="5"/>
      <c r="W1828" s="5"/>
      <c r="X1828" s="5"/>
      <c r="Y1828" s="5"/>
      <c r="Z1828" s="5"/>
    </row>
    <row r="1829" spans="1:26" ht="15.6" x14ac:dyDescent="0.3">
      <c r="A1829" s="18" t="s">
        <v>23</v>
      </c>
      <c r="B1829" s="24" t="s">
        <v>1829</v>
      </c>
      <c r="C1829" s="2" t="str">
        <f ca="1">IFERROR(__xludf.DUMMYFUNCTION("GOOGLETRANSLATE(B1829, ""bn"", ""en"")"),"Some groups in the Buddhist community harbor hostile attitudes towards other religions which creates unrest in the society.")</f>
        <v>Some groups in the Buddhist community harbor hostile attitudes towards other religions which creates unrest in the society.</v>
      </c>
      <c r="D1829" s="5"/>
      <c r="E1829" s="5"/>
      <c r="F1829" s="5"/>
      <c r="G1829" s="5"/>
      <c r="H1829" s="5"/>
      <c r="I1829" s="5"/>
      <c r="J1829" s="5"/>
      <c r="K1829" s="5"/>
      <c r="L1829" s="5"/>
      <c r="M1829" s="5"/>
      <c r="N1829" s="5"/>
      <c r="O1829" s="5"/>
      <c r="P1829" s="5"/>
      <c r="Q1829" s="5"/>
      <c r="R1829" s="5"/>
      <c r="S1829" s="5"/>
      <c r="T1829" s="5"/>
      <c r="U1829" s="5"/>
      <c r="V1829" s="5"/>
      <c r="W1829" s="5"/>
      <c r="X1829" s="5"/>
      <c r="Y1829" s="5"/>
      <c r="Z1829" s="5"/>
    </row>
    <row r="1830" spans="1:26" ht="15.6" x14ac:dyDescent="0.3">
      <c r="A1830" s="18" t="s">
        <v>8</v>
      </c>
      <c r="B1830" s="25" t="s">
        <v>1830</v>
      </c>
      <c r="C1830" s="2" t="str">
        <f ca="1">IFERROR(__xludf.DUMMYFUNCTION("GOOGLETRANSLATE(B1830, ""bn"", ""en"")"),"A Hindu temple was attacked, idols of gods and goddesses were vandalized and anti-Islamic slogans were written, a clear sign of religious intolerance.")</f>
        <v>A Hindu temple was attacked, idols of gods and goddesses were vandalized and anti-Islamic slogans were written, a clear sign of religious intolerance.</v>
      </c>
      <c r="D1830" s="5"/>
      <c r="E1830" s="5"/>
      <c r="F1830" s="5"/>
      <c r="G1830" s="5"/>
      <c r="H1830" s="5"/>
      <c r="I1830" s="5"/>
      <c r="J1830" s="5"/>
      <c r="K1830" s="5"/>
      <c r="L1830" s="5"/>
      <c r="M1830" s="5"/>
      <c r="N1830" s="5"/>
      <c r="O1830" s="5"/>
      <c r="P1830" s="5"/>
      <c r="Q1830" s="5"/>
      <c r="R1830" s="5"/>
      <c r="S1830" s="5"/>
      <c r="T1830" s="5"/>
      <c r="U1830" s="5"/>
      <c r="V1830" s="5"/>
      <c r="W1830" s="5"/>
      <c r="X1830" s="5"/>
      <c r="Y1830" s="5"/>
      <c r="Z1830" s="5"/>
    </row>
    <row r="1831" spans="1:26" ht="15.6" x14ac:dyDescent="0.3">
      <c r="A1831" s="18" t="s">
        <v>3</v>
      </c>
      <c r="B1831" s="25" t="s">
        <v>1831</v>
      </c>
      <c r="C1831" s="2" t="str">
        <f ca="1">IFERROR(__xludf.DUMMYFUNCTION("GOOGLETRANSLATE(B1831, ""bn"", ""en"")"),"My son's name is Muntashir Ahmed, 7 years old. I pray for him to be a person chosen by Allah Ta'ala, to follow the path shown by Nabiji.")</f>
        <v>My son's name is Muntashir Ahmed, 7 years old. I pray for him to be a person chosen by Allah Ta'ala, to follow the path shown by Nabiji.</v>
      </c>
      <c r="D1831" s="2"/>
      <c r="E1831" s="2"/>
      <c r="F1831" s="2"/>
      <c r="G1831" s="2"/>
      <c r="H1831" s="3"/>
      <c r="I1831" s="3"/>
      <c r="J1831" s="3"/>
      <c r="K1831" s="3"/>
      <c r="L1831" s="3"/>
      <c r="M1831" s="3"/>
      <c r="N1831" s="3"/>
      <c r="O1831" s="3"/>
      <c r="P1831" s="3"/>
      <c r="Q1831" s="3"/>
      <c r="R1831" s="3"/>
      <c r="S1831" s="3"/>
      <c r="T1831" s="3"/>
      <c r="U1831" s="3"/>
      <c r="V1831" s="3"/>
      <c r="W1831" s="3"/>
      <c r="X1831" s="3"/>
      <c r="Y1831" s="3"/>
      <c r="Z1831" s="3"/>
    </row>
    <row r="1832" spans="1:26" ht="15.6" x14ac:dyDescent="0.3">
      <c r="A1832" s="18" t="s">
        <v>3</v>
      </c>
      <c r="B1832" s="25" t="s">
        <v>1832</v>
      </c>
      <c r="C1832" s="2" t="str">
        <f ca="1">IFERROR(__xludf.DUMMYFUNCTION("GOOGLETRANSLATE(B1832, ""bn"", ""en"")"),"Hinduism conveys a message of universal brotherhood, where mutual sympathy and love are established among all.")</f>
        <v>Hinduism conveys a message of universal brotherhood, where mutual sympathy and love are established among all.</v>
      </c>
      <c r="D1832" s="5"/>
      <c r="E1832" s="5"/>
      <c r="F1832" s="5"/>
      <c r="G1832" s="5"/>
      <c r="H1832" s="5"/>
      <c r="I1832" s="5"/>
      <c r="J1832" s="5"/>
      <c r="K1832" s="5"/>
      <c r="L1832" s="5"/>
      <c r="M1832" s="5"/>
      <c r="N1832" s="5"/>
      <c r="O1832" s="5"/>
      <c r="P1832" s="5"/>
      <c r="Q1832" s="5"/>
      <c r="R1832" s="5"/>
      <c r="S1832" s="5"/>
      <c r="T1832" s="5"/>
      <c r="U1832" s="5"/>
      <c r="V1832" s="5"/>
      <c r="W1832" s="5"/>
      <c r="X1832" s="5"/>
      <c r="Y1832" s="5"/>
      <c r="Z1832" s="5"/>
    </row>
    <row r="1833" spans="1:26" ht="15.6" x14ac:dyDescent="0.3">
      <c r="A1833" s="19" t="s">
        <v>3</v>
      </c>
      <c r="B1833" s="26" t="s">
        <v>1833</v>
      </c>
      <c r="C1833" s="2" t="str">
        <f ca="1">IFERROR(__xludf.DUMMYFUNCTION("GOOGLETRANSLATE(B1833, ""bn"", ""en"")"),"Those who believe in the peace and modernity of Islam, never post extremists.")</f>
        <v>Those who believe in the peace and modernity of Islam, never post extremists.</v>
      </c>
      <c r="D1833" s="7"/>
      <c r="E1833" s="5"/>
      <c r="F1833" s="5"/>
      <c r="G1833" s="5"/>
      <c r="H1833" s="5"/>
      <c r="I1833" s="5"/>
      <c r="J1833" s="5"/>
      <c r="K1833" s="5"/>
      <c r="L1833" s="5"/>
      <c r="M1833" s="5"/>
      <c r="N1833" s="5"/>
      <c r="O1833" s="5"/>
      <c r="P1833" s="5"/>
      <c r="Q1833" s="5"/>
      <c r="R1833" s="5"/>
      <c r="S1833" s="5"/>
      <c r="T1833" s="5"/>
      <c r="U1833" s="5"/>
      <c r="V1833" s="5"/>
      <c r="W1833" s="5"/>
      <c r="X1833" s="5"/>
      <c r="Y1833" s="5"/>
      <c r="Z1833" s="5"/>
    </row>
    <row r="1834" spans="1:26" ht="15.6" x14ac:dyDescent="0.3">
      <c r="A1834" s="19" t="s">
        <v>5</v>
      </c>
      <c r="B1834" s="26" t="s">
        <v>1834</v>
      </c>
      <c r="C1834" s="2" t="str">
        <f ca="1">IFERROR(__xludf.DUMMYFUNCTION("GOOGLETRANSLATE(B1834, ""bn"", ""en"")"),"The Muslim community has been indulging in violence in Gujarat since the partition of the country. In 2002, Hindu extremists carried out violence against the Muslim minority in an incident labeled as ""fascist state terrorism"". During these incidents, yo"&amp;"ung girls were sexually assaulted, burned or hacked to death.")</f>
        <v>The Muslim community has been indulging in violence in Gujarat since the partition of the country. In 2002, Hindu extremists carried out violence against the Muslim minority in an incident labeled as "fascist state terrorism". During these incidents, young girls were sexually assaulted, burned or hacked to death.</v>
      </c>
      <c r="D1834" s="5"/>
      <c r="E1834" s="5"/>
      <c r="F1834" s="5"/>
      <c r="G1834" s="5"/>
      <c r="H1834" s="5"/>
      <c r="I1834" s="5"/>
      <c r="J1834" s="5"/>
      <c r="K1834" s="5"/>
      <c r="L1834" s="5"/>
      <c r="M1834" s="5"/>
      <c r="N1834" s="5"/>
      <c r="O1834" s="5"/>
      <c r="P1834" s="5"/>
      <c r="Q1834" s="5"/>
      <c r="R1834" s="5"/>
      <c r="S1834" s="5"/>
      <c r="T1834" s="5"/>
      <c r="U1834" s="5"/>
      <c r="V1834" s="5"/>
      <c r="W1834" s="5"/>
      <c r="X1834" s="5"/>
      <c r="Y1834" s="5"/>
      <c r="Z1834" s="5"/>
    </row>
    <row r="1835" spans="1:26" ht="15.6" x14ac:dyDescent="0.3">
      <c r="A1835" s="18" t="s">
        <v>23</v>
      </c>
      <c r="B1835" s="25" t="s">
        <v>1835</v>
      </c>
      <c r="C1835" s="2" t="str">
        <f ca="1">IFERROR(__xludf.DUMMYFUNCTION("GOOGLETRANSLATE(B1835, ""bn"", ""en"")"),"Tell me a little about what the Bangladesh government has done. But we are Muslim or Muslim majority country!!! I strongly condemn and protest this incident.")</f>
        <v>Tell me a little about what the Bangladesh government has done. But we are Muslim or Muslim majority country!!! I strongly condemn and protest this incident.</v>
      </c>
      <c r="D1835" s="5"/>
      <c r="E1835" s="5"/>
      <c r="F1835" s="5"/>
      <c r="G1835" s="5"/>
      <c r="H1835" s="5"/>
      <c r="I1835" s="5"/>
      <c r="J1835" s="5"/>
      <c r="K1835" s="5"/>
      <c r="L1835" s="5"/>
      <c r="M1835" s="5"/>
      <c r="N1835" s="5"/>
      <c r="O1835" s="5"/>
      <c r="P1835" s="5"/>
      <c r="Q1835" s="5"/>
      <c r="R1835" s="5"/>
      <c r="S1835" s="5"/>
      <c r="T1835" s="5"/>
      <c r="U1835" s="5"/>
      <c r="V1835" s="5"/>
      <c r="W1835" s="5"/>
      <c r="X1835" s="5"/>
      <c r="Y1835" s="5"/>
      <c r="Z1835" s="5"/>
    </row>
    <row r="1836" spans="1:26" ht="15.6" x14ac:dyDescent="0.3">
      <c r="A1836" s="18" t="s">
        <v>8</v>
      </c>
      <c r="B1836" s="25" t="s">
        <v>1836</v>
      </c>
      <c r="C1836" s="2" t="str">
        <f ca="1">IFERROR(__xludf.DUMMYFUNCTION("GOOGLETRANSLATE(B1836, ""bn"", ""en"")"),"Before giving this speech, say that all the Hindu, Buddhist, Sikh temples, Gumpha, Gurdwaras have been converted into mosques by the Muslims, why should those mosques not be demolished?")</f>
        <v>Before giving this speech, say that all the Hindu, Buddhist, Sikh temples, Gumpha, Gurdwaras have been converted into mosques by the Muslims, why should those mosques not be demolished?</v>
      </c>
      <c r="D1836" s="5"/>
      <c r="E1836" s="5"/>
      <c r="F1836" s="5"/>
      <c r="G1836" s="5"/>
      <c r="H1836" s="5"/>
      <c r="I1836" s="5"/>
      <c r="J1836" s="5"/>
      <c r="K1836" s="5"/>
      <c r="L1836" s="5"/>
      <c r="M1836" s="5"/>
      <c r="N1836" s="5"/>
      <c r="O1836" s="5"/>
      <c r="P1836" s="5"/>
      <c r="Q1836" s="5"/>
      <c r="R1836" s="5"/>
      <c r="S1836" s="5"/>
      <c r="T1836" s="5"/>
      <c r="U1836" s="5"/>
      <c r="V1836" s="5"/>
      <c r="W1836" s="5"/>
      <c r="X1836" s="5"/>
      <c r="Y1836" s="5"/>
      <c r="Z1836" s="5"/>
    </row>
    <row r="1837" spans="1:26" ht="15.6" x14ac:dyDescent="0.3">
      <c r="A1837" s="18" t="s">
        <v>5</v>
      </c>
      <c r="B1837" s="24" t="s">
        <v>1837</v>
      </c>
      <c r="C1837" s="2" t="str">
        <f ca="1">IFERROR(__xludf.DUMMYFUNCTION("GOOGLETRANSLATE(B1837, ""bn"", ""en"")"),"In the name of religious harmony, a group terrorized other religions, killing 27 people.")</f>
        <v>In the name of religious harmony, a group terrorized other religions, killing 27 people.</v>
      </c>
      <c r="D1837" s="5"/>
      <c r="E1837" s="5"/>
      <c r="F1837" s="5"/>
      <c r="G1837" s="5"/>
      <c r="H1837" s="5"/>
      <c r="I1837" s="5"/>
      <c r="J1837" s="5"/>
      <c r="K1837" s="5"/>
      <c r="L1837" s="5"/>
      <c r="M1837" s="5"/>
      <c r="N1837" s="5"/>
      <c r="O1837" s="5"/>
      <c r="P1837" s="5"/>
      <c r="Q1837" s="5"/>
      <c r="R1837" s="5"/>
      <c r="S1837" s="5"/>
      <c r="T1837" s="5"/>
      <c r="U1837" s="5"/>
      <c r="V1837" s="5"/>
      <c r="W1837" s="5"/>
      <c r="X1837" s="5"/>
      <c r="Y1837" s="5"/>
      <c r="Z1837" s="5"/>
    </row>
    <row r="1838" spans="1:26" ht="15.6" x14ac:dyDescent="0.3">
      <c r="A1838" s="18" t="s">
        <v>3</v>
      </c>
      <c r="B1838" s="25" t="s">
        <v>1838</v>
      </c>
      <c r="C1838" s="2" t="str">
        <f ca="1">IFERROR(__xludf.DUMMYFUNCTION("GOOGLETRANSLATE(B1838, ""bn"", ""en"")"),"Those who are aware of the complete peace, freedom and harmony of Islam can never post extremist views on Islam!")</f>
        <v>Those who are aware of the complete peace, freedom and harmony of Islam can never post extremist views on Islam!</v>
      </c>
      <c r="D1838" s="5"/>
      <c r="E1838" s="5"/>
      <c r="F1838" s="5"/>
      <c r="G1838" s="5"/>
      <c r="H1838" s="5"/>
      <c r="I1838" s="5"/>
      <c r="J1838" s="5"/>
      <c r="K1838" s="5"/>
      <c r="L1838" s="5"/>
      <c r="M1838" s="5"/>
      <c r="N1838" s="5"/>
      <c r="O1838" s="5"/>
      <c r="P1838" s="5"/>
      <c r="Q1838" s="5"/>
      <c r="R1838" s="5"/>
      <c r="S1838" s="5"/>
      <c r="T1838" s="5"/>
      <c r="U1838" s="5"/>
      <c r="V1838" s="5"/>
      <c r="W1838" s="5"/>
      <c r="X1838" s="5"/>
      <c r="Y1838" s="5"/>
      <c r="Z1838" s="5"/>
    </row>
    <row r="1839" spans="1:26" ht="15.6" x14ac:dyDescent="0.3">
      <c r="A1839" s="18" t="s">
        <v>23</v>
      </c>
      <c r="B1839" s="25" t="s">
        <v>1839</v>
      </c>
      <c r="C1839" s="2" t="str">
        <f ca="1">IFERROR(__xludf.DUMMYFUNCTION("GOOGLETRANSLATE(B1839, ""bn"", ""en"")"),"May Allah send down the glory in this country and protect the Muslims of the world")</f>
        <v>May Allah send down the glory in this country and protect the Muslims of the world</v>
      </c>
      <c r="D1839" s="2"/>
      <c r="E1839" s="2"/>
      <c r="F1839" s="2"/>
      <c r="G1839" s="2"/>
      <c r="H1839" s="3"/>
      <c r="I1839" s="3"/>
      <c r="J1839" s="3"/>
      <c r="K1839" s="3"/>
      <c r="L1839" s="3"/>
      <c r="M1839" s="3"/>
      <c r="N1839" s="3"/>
      <c r="O1839" s="3"/>
      <c r="P1839" s="3"/>
      <c r="Q1839" s="3"/>
      <c r="R1839" s="3"/>
      <c r="S1839" s="3"/>
      <c r="T1839" s="3"/>
      <c r="U1839" s="3"/>
      <c r="V1839" s="3"/>
      <c r="W1839" s="3"/>
      <c r="X1839" s="3"/>
      <c r="Y1839" s="3"/>
      <c r="Z1839" s="3"/>
    </row>
    <row r="1840" spans="1:26" ht="15.6" x14ac:dyDescent="0.3">
      <c r="A1840" s="18" t="s">
        <v>5</v>
      </c>
      <c r="B1840" s="24" t="s">
        <v>1840</v>
      </c>
      <c r="C1840" s="2" t="str">
        <f ca="1">IFERROR(__xludf.DUMMYFUNCTION("GOOGLETRANSLATE(B1840, ""bn"", ""en"")"),"In January 2017, a clash occurred during a religious festival at a major temple. The temple was set on fire by rival groups, killing 35 people and injuring hundreds.")</f>
        <v>In January 2017, a clash occurred during a religious festival at a major temple. The temple was set on fire by rival groups, killing 35 people and injuring hundreds.</v>
      </c>
      <c r="D1840" s="5"/>
      <c r="E1840" s="5"/>
      <c r="F1840" s="5"/>
      <c r="G1840" s="5"/>
      <c r="H1840" s="5"/>
      <c r="I1840" s="5"/>
      <c r="J1840" s="5"/>
      <c r="K1840" s="5"/>
      <c r="L1840" s="5"/>
      <c r="M1840" s="5"/>
      <c r="N1840" s="5"/>
      <c r="O1840" s="5"/>
      <c r="P1840" s="5"/>
      <c r="Q1840" s="5"/>
      <c r="R1840" s="5"/>
      <c r="S1840" s="5"/>
      <c r="T1840" s="5"/>
      <c r="U1840" s="5"/>
      <c r="V1840" s="5"/>
      <c r="W1840" s="5"/>
      <c r="X1840" s="5"/>
      <c r="Y1840" s="5"/>
      <c r="Z1840" s="5"/>
    </row>
    <row r="1841" spans="1:26" ht="15.6" x14ac:dyDescent="0.3">
      <c r="A1841" s="18" t="s">
        <v>5</v>
      </c>
      <c r="B1841" s="25" t="s">
        <v>1841</v>
      </c>
      <c r="C1841" s="2" t="str">
        <f ca="1">IFERROR(__xludf.DUMMYFUNCTION("GOOGLETRANSLATE(B1841, ""bn"", ""en"")"),"Razakar's party led to the Hindu-dominated villages of Baidydani, Majhidani and Baladangi where they killed 50-60 unarmed Bengali Hindus. The attackers set fire to 300-350 Hindu families, forcing them to flee the country.")</f>
        <v>Razakar's party led to the Hindu-dominated villages of Baidydani, Majhidani and Baladangi where they killed 50-60 unarmed Bengali Hindus. The attackers set fire to 300-350 Hindu families, forcing them to flee the country.</v>
      </c>
      <c r="D1841" s="6"/>
      <c r="E1841" s="6"/>
      <c r="F1841" s="6"/>
      <c r="G1841" s="6"/>
      <c r="H1841" s="5"/>
      <c r="I1841" s="5"/>
      <c r="J1841" s="5"/>
      <c r="K1841" s="5"/>
      <c r="L1841" s="5"/>
      <c r="M1841" s="5"/>
      <c r="N1841" s="5"/>
      <c r="O1841" s="5"/>
      <c r="P1841" s="5"/>
      <c r="Q1841" s="5"/>
      <c r="R1841" s="5"/>
      <c r="S1841" s="5"/>
      <c r="T1841" s="5"/>
      <c r="U1841" s="5"/>
      <c r="V1841" s="5"/>
      <c r="W1841" s="5"/>
      <c r="X1841" s="5"/>
      <c r="Y1841" s="5"/>
      <c r="Z1841" s="5"/>
    </row>
    <row r="1842" spans="1:26" ht="15.6" x14ac:dyDescent="0.3">
      <c r="A1842" s="18" t="s">
        <v>23</v>
      </c>
      <c r="B1842" s="25" t="s">
        <v>1842</v>
      </c>
      <c r="C1842" s="2" t="str">
        <f ca="1">IFERROR(__xludf.DUMMYFUNCTION("GOOGLETRANSLATE(B1842, ""bn"", ""en"")"),"Forced settlement of Muslim Bengalis in the Chittagong Hill Tracts is assumed to be a state conspiracy to destroy the religious existence of Buddhists and Hindus.")</f>
        <v>Forced settlement of Muslim Bengalis in the Chittagong Hill Tracts is assumed to be a state conspiracy to destroy the religious existence of Buddhists and Hindus.</v>
      </c>
      <c r="D1842" s="5"/>
      <c r="E1842" s="5"/>
      <c r="F1842" s="5"/>
      <c r="G1842" s="5"/>
      <c r="H1842" s="5"/>
      <c r="I1842" s="5"/>
      <c r="J1842" s="5"/>
      <c r="K1842" s="5"/>
      <c r="L1842" s="5"/>
      <c r="M1842" s="5"/>
      <c r="N1842" s="5"/>
      <c r="O1842" s="5"/>
      <c r="P1842" s="5"/>
      <c r="Q1842" s="5"/>
      <c r="R1842" s="5"/>
      <c r="S1842" s="5"/>
      <c r="T1842" s="5"/>
      <c r="U1842" s="5"/>
      <c r="V1842" s="5"/>
      <c r="W1842" s="5"/>
      <c r="X1842" s="5"/>
      <c r="Y1842" s="5"/>
      <c r="Z1842" s="5"/>
    </row>
    <row r="1843" spans="1:26" ht="15.6" x14ac:dyDescent="0.3">
      <c r="A1843" s="19" t="s">
        <v>23</v>
      </c>
      <c r="B1843" s="26" t="s">
        <v>1843</v>
      </c>
      <c r="C1843" s="2" t="str">
        <f ca="1">IFERROR(__xludf.DUMMYFUNCTION("GOOGLETRANSLATE(B1843, ""bn"", ""en"")"),"A shoe company is promoting traditional religion in Bangladesh. As a Sanatani I protest against this insult and call everyone to be aware.")</f>
        <v>A shoe company is promoting traditional religion in Bangladesh. As a Sanatani I protest against this insult and call everyone to be aware.</v>
      </c>
      <c r="D1843" s="7"/>
      <c r="E1843" s="7"/>
      <c r="F1843" s="7"/>
      <c r="G1843" s="7"/>
      <c r="H1843" s="7"/>
      <c r="I1843" s="7"/>
      <c r="J1843" s="7"/>
      <c r="K1843" s="7"/>
      <c r="L1843" s="7"/>
      <c r="M1843" s="7"/>
      <c r="N1843" s="5"/>
      <c r="O1843" s="5"/>
      <c r="P1843" s="5"/>
      <c r="Q1843" s="5"/>
      <c r="R1843" s="5"/>
      <c r="S1843" s="5"/>
      <c r="T1843" s="5"/>
      <c r="U1843" s="5"/>
      <c r="V1843" s="5"/>
      <c r="W1843" s="5"/>
      <c r="X1843" s="5"/>
      <c r="Y1843" s="5"/>
      <c r="Z1843" s="5"/>
    </row>
    <row r="1844" spans="1:26" ht="15.6" x14ac:dyDescent="0.3">
      <c r="A1844" s="18" t="s">
        <v>23</v>
      </c>
      <c r="B1844" s="24" t="s">
        <v>1844</v>
      </c>
      <c r="C1844" s="2" t="str">
        <f ca="1">IFERROR(__xludf.DUMMYFUNCTION("GOOGLETRANSLATE(B1844, ""bn"", ""en"")"),"These Puja Parvans mean chaos and oppression of the poor, Hindus should stop this.")</f>
        <v>These Puja Parvans mean chaos and oppression of the poor, Hindus should stop this.</v>
      </c>
      <c r="D1844" s="5"/>
      <c r="E1844" s="5"/>
      <c r="F1844" s="5"/>
      <c r="G1844" s="5"/>
      <c r="H1844" s="5"/>
      <c r="I1844" s="5"/>
      <c r="J1844" s="5"/>
      <c r="K1844" s="5"/>
      <c r="L1844" s="5"/>
      <c r="M1844" s="5"/>
      <c r="N1844" s="5"/>
      <c r="O1844" s="5"/>
      <c r="P1844" s="5"/>
      <c r="Q1844" s="5"/>
      <c r="R1844" s="5"/>
      <c r="S1844" s="5"/>
      <c r="T1844" s="5"/>
      <c r="U1844" s="5"/>
      <c r="V1844" s="5"/>
      <c r="W1844" s="5"/>
      <c r="X1844" s="5"/>
      <c r="Y1844" s="5"/>
      <c r="Z1844" s="5"/>
    </row>
    <row r="1845" spans="1:26" ht="15.6" x14ac:dyDescent="0.3">
      <c r="A1845" s="18" t="s">
        <v>3</v>
      </c>
      <c r="B1845" s="25" t="s">
        <v>1845</v>
      </c>
      <c r="C1845" s="2" t="str">
        <f ca="1">IFERROR(__xludf.DUMMYFUNCTION("GOOGLETRANSLATE(B1845, ""bn"", ""en"")"),"1400 years of Muslim history did not progress at the same pace. Sometimes Muslims were victorious, sometimes defeated. In books we only read the history of the victorious Muslim nation.")</f>
        <v>1400 years of Muslim history did not progress at the same pace. Sometimes Muslims were victorious, sometimes defeated. In books we only read the history of the victorious Muslim nation.</v>
      </c>
      <c r="D1845" s="5"/>
      <c r="E1845" s="5"/>
      <c r="F1845" s="5"/>
      <c r="G1845" s="5"/>
      <c r="H1845" s="5"/>
      <c r="I1845" s="5"/>
      <c r="J1845" s="5"/>
      <c r="K1845" s="5"/>
      <c r="L1845" s="5"/>
      <c r="M1845" s="5"/>
      <c r="N1845" s="5"/>
      <c r="O1845" s="5"/>
      <c r="P1845" s="5"/>
      <c r="Q1845" s="5"/>
      <c r="R1845" s="5"/>
      <c r="S1845" s="5"/>
      <c r="T1845" s="5"/>
      <c r="U1845" s="5"/>
      <c r="V1845" s="5"/>
      <c r="W1845" s="5"/>
      <c r="X1845" s="5"/>
      <c r="Y1845" s="5"/>
      <c r="Z1845" s="5"/>
    </row>
    <row r="1846" spans="1:26" ht="15.6" x14ac:dyDescent="0.3">
      <c r="A1846" s="18" t="s">
        <v>8</v>
      </c>
      <c r="B1846" s="24" t="s">
        <v>1846</v>
      </c>
      <c r="C1846" s="2" t="str">
        <f ca="1">IFERROR(__xludf.DUMMYFUNCTION("GOOGLETRANSLATE(B1846, ""bn"", ""en"")"),"On 16 April 2024, the newly established Radha Gobind temple at Rupganj in Narayanganj was destroyed by idols and clock structures.")</f>
        <v>On 16 April 2024, the newly established Radha Gobind temple at Rupganj in Narayanganj was destroyed by idols and clock structures.</v>
      </c>
      <c r="D1846" s="5"/>
      <c r="E1846" s="5"/>
      <c r="F1846" s="5"/>
      <c r="G1846" s="5"/>
      <c r="H1846" s="5"/>
      <c r="I1846" s="5"/>
      <c r="J1846" s="5"/>
      <c r="K1846" s="5"/>
      <c r="L1846" s="5"/>
      <c r="M1846" s="5"/>
      <c r="N1846" s="5"/>
      <c r="O1846" s="5"/>
      <c r="P1846" s="5"/>
      <c r="Q1846" s="5"/>
      <c r="R1846" s="5"/>
      <c r="S1846" s="5"/>
      <c r="T1846" s="5"/>
      <c r="U1846" s="5"/>
      <c r="V1846" s="5"/>
      <c r="W1846" s="5"/>
      <c r="X1846" s="5"/>
      <c r="Y1846" s="5"/>
      <c r="Z1846" s="5"/>
    </row>
    <row r="1847" spans="1:26" ht="15.6" x14ac:dyDescent="0.3">
      <c r="A1847" s="19" t="s">
        <v>23</v>
      </c>
      <c r="B1847" s="26" t="s">
        <v>1847</v>
      </c>
      <c r="C1847" s="2" t="str">
        <f ca="1">IFERROR(__xludf.DUMMYFUNCTION("GOOGLETRANSLATE(B1847, ""bn"", ""en"")"),"For 75 years, there is a ban on rebuilding mosques where there are mosques. It is a Muslim country.")</f>
        <v>For 75 years, there is a ban on rebuilding mosques where there are mosques. It is a Muslim country.</v>
      </c>
      <c r="D1847" s="5"/>
      <c r="E1847" s="5"/>
      <c r="F1847" s="5"/>
      <c r="G1847" s="5"/>
      <c r="H1847" s="5"/>
      <c r="I1847" s="5"/>
      <c r="J1847" s="5"/>
      <c r="K1847" s="5"/>
      <c r="L1847" s="5"/>
      <c r="M1847" s="5"/>
      <c r="N1847" s="5"/>
      <c r="O1847" s="5"/>
      <c r="P1847" s="5"/>
      <c r="Q1847" s="5"/>
      <c r="R1847" s="5"/>
      <c r="S1847" s="5"/>
      <c r="T1847" s="5"/>
      <c r="U1847" s="5"/>
      <c r="V1847" s="5"/>
      <c r="W1847" s="5"/>
      <c r="X1847" s="5"/>
      <c r="Y1847" s="5"/>
      <c r="Z1847" s="5"/>
    </row>
    <row r="1848" spans="1:26" ht="15.6" x14ac:dyDescent="0.3">
      <c r="A1848" s="18" t="s">
        <v>23</v>
      </c>
      <c r="B1848" s="25" t="s">
        <v>1848</v>
      </c>
      <c r="C1848" s="2" t="str">
        <f ca="1">IFERROR(__xludf.DUMMYFUNCTION("GOOGLETRANSLATE(B1848, ""bn"", ""en"")"),"O Allah! You guard the Holy Quran. Those who blaspheme the Holy Qur'an, You destroy forever with Your wrath. Amen.")</f>
        <v>O Allah! You guard the Holy Quran. Those who blaspheme the Holy Qur'an, You destroy forever with Your wrath. Amen.</v>
      </c>
      <c r="D1848" s="5"/>
      <c r="E1848" s="5"/>
      <c r="F1848" s="5"/>
      <c r="G1848" s="5"/>
      <c r="H1848" s="5"/>
      <c r="I1848" s="5"/>
      <c r="J1848" s="5"/>
      <c r="K1848" s="5"/>
      <c r="L1848" s="5"/>
      <c r="M1848" s="5"/>
      <c r="N1848" s="5"/>
      <c r="O1848" s="5"/>
      <c r="P1848" s="5"/>
      <c r="Q1848" s="5"/>
      <c r="R1848" s="5"/>
      <c r="S1848" s="5"/>
      <c r="T1848" s="5"/>
      <c r="U1848" s="5"/>
      <c r="V1848" s="5"/>
      <c r="W1848" s="5"/>
      <c r="X1848" s="5"/>
      <c r="Y1848" s="5"/>
      <c r="Z1848" s="5"/>
    </row>
    <row r="1849" spans="1:26" ht="15.6" x14ac:dyDescent="0.3">
      <c r="A1849" s="18" t="s">
        <v>3</v>
      </c>
      <c r="B1849" s="25" t="s">
        <v>1849</v>
      </c>
      <c r="C1849" s="2" t="str">
        <f ca="1">IFERROR(__xludf.DUMMYFUNCTION("GOOGLETRANSLATE(B1849, ""bn"", ""en"")"),"Conversion to Christianity began in Bengal after the arrival of Portuguese seafarers in the 16th century. During the Bengali Renaissance of the 19th century, many among the Bengali elite converted to Christianity. After that it continues from generation t"&amp;"o generation.")</f>
        <v>Conversion to Christianity began in Bengal after the arrival of Portuguese seafarers in the 16th century. During the Bengali Renaissance of the 19th century, many among the Bengali elite converted to Christianity. After that it continues from generation to generation.</v>
      </c>
      <c r="D1849" s="5"/>
      <c r="E1849" s="5"/>
      <c r="F1849" s="5"/>
      <c r="G1849" s="5"/>
      <c r="H1849" s="5"/>
      <c r="I1849" s="5"/>
      <c r="J1849" s="5"/>
      <c r="K1849" s="5"/>
      <c r="L1849" s="5"/>
      <c r="M1849" s="5"/>
      <c r="N1849" s="5"/>
      <c r="O1849" s="5"/>
      <c r="P1849" s="5"/>
      <c r="Q1849" s="5"/>
      <c r="R1849" s="5"/>
      <c r="S1849" s="5"/>
      <c r="T1849" s="5"/>
      <c r="U1849" s="5"/>
      <c r="V1849" s="5"/>
      <c r="W1849" s="5"/>
      <c r="X1849" s="5"/>
      <c r="Y1849" s="5"/>
      <c r="Z1849" s="5"/>
    </row>
    <row r="1850" spans="1:26" ht="15.6" x14ac:dyDescent="0.3">
      <c r="A1850" s="18" t="s">
        <v>3</v>
      </c>
      <c r="B1850" s="25" t="s">
        <v>1850</v>
      </c>
      <c r="C1850" s="2" t="str">
        <f ca="1">IFERROR(__xludf.DUMMYFUNCTION("GOOGLETRANSLATE(B1850, ""bn"", ""en"")"),"Alhamdulillah, day by day people are coming back to the light of Quran. Those who were aloof before, are now interested in building their lives on the teachings of the Qur'an.")</f>
        <v>Alhamdulillah, day by day people are coming back to the light of Quran. Those who were aloof before, are now interested in building their lives on the teachings of the Qur'an.</v>
      </c>
      <c r="D1850" s="2"/>
      <c r="E1850" s="2"/>
      <c r="F1850" s="2"/>
      <c r="G1850" s="2"/>
      <c r="H1850" s="5"/>
      <c r="I1850" s="5"/>
      <c r="J1850" s="5"/>
      <c r="K1850" s="5"/>
      <c r="L1850" s="5"/>
      <c r="M1850" s="5"/>
      <c r="N1850" s="5"/>
      <c r="O1850" s="5"/>
      <c r="P1850" s="5"/>
      <c r="Q1850" s="5"/>
      <c r="R1850" s="5"/>
      <c r="S1850" s="5"/>
      <c r="T1850" s="5"/>
      <c r="U1850" s="5"/>
      <c r="V1850" s="5"/>
      <c r="W1850" s="5"/>
      <c r="X1850" s="5"/>
      <c r="Y1850" s="5"/>
      <c r="Z1850" s="5"/>
    </row>
    <row r="1851" spans="1:26" ht="15.6" x14ac:dyDescent="0.3">
      <c r="A1851" s="18" t="s">
        <v>23</v>
      </c>
      <c r="B1851" s="25" t="s">
        <v>1851</v>
      </c>
      <c r="C1851" s="2" t="str">
        <f ca="1">IFERROR(__xludf.DUMMYFUNCTION("GOOGLETRANSLATE(B1851, ""bn"", ""en"")"),"I am ashamed to be born in a country where celebrating the festival of any religion is considered as injustice and crime.")</f>
        <v>I am ashamed to be born in a country where celebrating the festival of any religion is considered as injustice and crime.</v>
      </c>
      <c r="D1851" s="2"/>
      <c r="E1851" s="2"/>
      <c r="F1851" s="2"/>
      <c r="G1851" s="2"/>
      <c r="H1851" s="3"/>
      <c r="I1851" s="3"/>
      <c r="J1851" s="3"/>
      <c r="K1851" s="3"/>
      <c r="L1851" s="3"/>
      <c r="M1851" s="3"/>
      <c r="N1851" s="3"/>
      <c r="O1851" s="3"/>
      <c r="P1851" s="3"/>
      <c r="Q1851" s="3"/>
      <c r="R1851" s="3"/>
      <c r="S1851" s="3"/>
      <c r="T1851" s="3"/>
      <c r="U1851" s="3"/>
      <c r="V1851" s="3"/>
      <c r="W1851" s="3"/>
      <c r="X1851" s="3"/>
      <c r="Y1851" s="3"/>
      <c r="Z1851" s="3"/>
    </row>
    <row r="1852" spans="1:26" ht="15.6" x14ac:dyDescent="0.3">
      <c r="A1852" s="18" t="s">
        <v>23</v>
      </c>
      <c r="B1852" s="24" t="s">
        <v>1621</v>
      </c>
      <c r="C1852" s="2" t="str">
        <f ca="1">IFERROR(__xludf.DUMMYFUNCTION("GOOGLETRANSLATE(B1852, ""bn"", ""en"")"),"Some members of the Buddhist community are creating unrest and division in the society by spreading religious hatred.")</f>
        <v>Some members of the Buddhist community are creating unrest and division in the society by spreading religious hatred.</v>
      </c>
      <c r="D1852" s="5"/>
      <c r="E1852" s="5"/>
      <c r="F1852" s="5"/>
      <c r="G1852" s="5"/>
      <c r="H1852" s="5"/>
      <c r="I1852" s="5"/>
      <c r="J1852" s="5"/>
      <c r="K1852" s="5"/>
      <c r="L1852" s="5"/>
      <c r="M1852" s="5"/>
      <c r="N1852" s="5"/>
      <c r="O1852" s="5"/>
      <c r="P1852" s="5"/>
      <c r="Q1852" s="5"/>
      <c r="R1852" s="5"/>
      <c r="S1852" s="5"/>
      <c r="T1852" s="5"/>
      <c r="U1852" s="5"/>
      <c r="V1852" s="5"/>
      <c r="W1852" s="5"/>
      <c r="X1852" s="5"/>
      <c r="Y1852" s="5"/>
      <c r="Z1852" s="5"/>
    </row>
    <row r="1853" spans="1:26" ht="15.6" x14ac:dyDescent="0.3">
      <c r="A1853" s="19" t="s">
        <v>3</v>
      </c>
      <c r="B1853" s="26" t="s">
        <v>1852</v>
      </c>
      <c r="C1853" s="2" t="str">
        <f ca="1">IFERROR(__xludf.DUMMYFUNCTION("GOOGLETRANSLATE(B1853, ""bn"", ""en"")"),"We do not fully understand God because we do not have the ability to understand His majesty. Allah, grant me to paint my life in your colors. Amen.")</f>
        <v>We do not fully understand God because we do not have the ability to understand His majesty. Allah, grant me to paint my life in your colors. Amen.</v>
      </c>
      <c r="D1853" s="7"/>
      <c r="E1853" s="7"/>
      <c r="F1853" s="7"/>
      <c r="G1853" s="7"/>
      <c r="H1853" s="7"/>
      <c r="I1853" s="7"/>
      <c r="J1853" s="7"/>
      <c r="K1853" s="7"/>
      <c r="L1853" s="5"/>
      <c r="M1853" s="5"/>
      <c r="N1853" s="5"/>
      <c r="O1853" s="5"/>
      <c r="P1853" s="5"/>
      <c r="Q1853" s="5"/>
      <c r="R1853" s="5"/>
      <c r="S1853" s="5"/>
      <c r="T1853" s="5"/>
      <c r="U1853" s="5"/>
      <c r="V1853" s="5"/>
      <c r="W1853" s="5"/>
      <c r="X1853" s="5"/>
      <c r="Y1853" s="5"/>
      <c r="Z1853" s="5"/>
    </row>
    <row r="1854" spans="1:26" ht="15.6" x14ac:dyDescent="0.3">
      <c r="A1854" s="18" t="s">
        <v>23</v>
      </c>
      <c r="B1854" s="25" t="s">
        <v>1853</v>
      </c>
      <c r="C1854" s="2" t="str">
        <f ca="1">IFERROR(__xludf.DUMMYFUNCTION("GOOGLETRANSLATE(B1854, ""bn"", ""en"")"),"About 7,000 to 10,000 Hindus left their homes and took shelter in Jagannath College premises. However, the authorities could not arrange toilets there, which made the shelter somewhat unsanitary within days.")</f>
        <v>About 7,000 to 10,000 Hindus left their homes and took shelter in Jagannath College premises. However, the authorities could not arrange toilets there, which made the shelter somewhat unsanitary within days.</v>
      </c>
      <c r="D1854" s="2"/>
      <c r="E1854" s="2"/>
      <c r="F1854" s="2"/>
      <c r="G1854" s="2"/>
      <c r="H1854" s="3"/>
      <c r="I1854" s="3"/>
      <c r="J1854" s="3"/>
      <c r="K1854" s="3"/>
      <c r="L1854" s="3"/>
      <c r="M1854" s="3"/>
      <c r="N1854" s="3"/>
      <c r="O1854" s="3"/>
      <c r="P1854" s="3"/>
      <c r="Q1854" s="3"/>
      <c r="R1854" s="3"/>
      <c r="S1854" s="3"/>
      <c r="T1854" s="3"/>
      <c r="U1854" s="3"/>
      <c r="V1854" s="3"/>
      <c r="W1854" s="3"/>
      <c r="X1854" s="3"/>
      <c r="Y1854" s="3"/>
      <c r="Z1854" s="3"/>
    </row>
    <row r="1855" spans="1:26" ht="15.6" x14ac:dyDescent="0.3">
      <c r="A1855" s="19" t="s">
        <v>3</v>
      </c>
      <c r="B1855" s="26" t="s">
        <v>1854</v>
      </c>
      <c r="C1855" s="2" t="str">
        <f ca="1">IFERROR(__xludf.DUMMYFUNCTION("GOOGLETRANSLATE(B1855, ""bn"", ""en"")"),"The common people of Bangladesh have no concern about who is going to be the head of Vidyananda. He is human, regardless of religion or caste. However, there may be social implications in some areas.")</f>
        <v>The common people of Bangladesh have no concern about who is going to be the head of Vidyananda. He is human, regardless of religion or caste. However, there may be social implications in some areas.</v>
      </c>
      <c r="D1855" s="7"/>
      <c r="E1855" s="7"/>
      <c r="F1855" s="7"/>
      <c r="G1855" s="7"/>
      <c r="H1855" s="7"/>
      <c r="I1855" s="7"/>
      <c r="J1855" s="7"/>
      <c r="K1855" s="7"/>
      <c r="L1855" s="7"/>
      <c r="M1855" s="7"/>
      <c r="N1855" s="5"/>
      <c r="O1855" s="5"/>
      <c r="P1855" s="5"/>
      <c r="Q1855" s="5"/>
      <c r="R1855" s="5"/>
      <c r="S1855" s="5"/>
      <c r="T1855" s="5"/>
      <c r="U1855" s="5"/>
      <c r="V1855" s="5"/>
      <c r="W1855" s="5"/>
      <c r="X1855" s="5"/>
      <c r="Y1855" s="5"/>
      <c r="Z1855" s="5"/>
    </row>
    <row r="1856" spans="1:26" ht="15.6" x14ac:dyDescent="0.3">
      <c r="A1856" s="18" t="s">
        <v>8</v>
      </c>
      <c r="B1856" s="25" t="s">
        <v>1855</v>
      </c>
      <c r="C1856" s="2" t="str">
        <f ca="1">IFERROR(__xludf.DUMMYFUNCTION("GOOGLETRANSLATE(B1856, ""bn"", ""en"")"),"Also, on the charge of insulting Islam, the rioters pelted bricks at the Akhrabari Sarvajanin Temple [18] and set it on fire around 9 pm.")</f>
        <v>Also, on the charge of insulting Islam, the rioters pelted bricks at the Akhrabari Sarvajanin Temple [18] and set it on fire around 9 pm.</v>
      </c>
      <c r="D1856" s="2"/>
      <c r="E1856" s="2"/>
      <c r="F1856" s="2"/>
      <c r="G1856" s="2"/>
      <c r="H1856" s="3"/>
      <c r="I1856" s="3"/>
      <c r="J1856" s="3"/>
      <c r="K1856" s="3"/>
      <c r="L1856" s="3"/>
      <c r="M1856" s="3"/>
      <c r="N1856" s="3"/>
      <c r="O1856" s="3"/>
      <c r="P1856" s="3"/>
      <c r="Q1856" s="3"/>
      <c r="R1856" s="3"/>
      <c r="S1856" s="3"/>
      <c r="T1856" s="3"/>
      <c r="U1856" s="3"/>
      <c r="V1856" s="3"/>
      <c r="W1856" s="3"/>
      <c r="X1856" s="3"/>
      <c r="Y1856" s="3"/>
      <c r="Z1856" s="3"/>
    </row>
    <row r="1857" spans="1:26" ht="15.6" x14ac:dyDescent="0.3">
      <c r="A1857" s="18" t="s">
        <v>8</v>
      </c>
      <c r="B1857" s="25" t="s">
        <v>1856</v>
      </c>
      <c r="C1857" s="2" t="str">
        <f ca="1">IFERROR(__xludf.DUMMYFUNCTION("GOOGLETRANSLATE(B1857, ""bn"", ""en"")"),"On the morning of October 11, Muslim Chowdhury's house in Karpara was attacked. At first the family resisted with arms but eventually they were weakened when they ran out of bullets.")</f>
        <v>On the morning of October 11, Muslim Chowdhury's house in Karpara was attacked. At first the family resisted with arms but eventually they were weakened when they ran out of bullets.</v>
      </c>
      <c r="D1857" s="2"/>
      <c r="E1857" s="2"/>
      <c r="F1857" s="2"/>
      <c r="G1857" s="2"/>
      <c r="H1857" s="3"/>
      <c r="I1857" s="3"/>
      <c r="J1857" s="3"/>
      <c r="K1857" s="3"/>
      <c r="L1857" s="3"/>
      <c r="M1857" s="3"/>
      <c r="N1857" s="3"/>
      <c r="O1857" s="3"/>
      <c r="P1857" s="3"/>
      <c r="Q1857" s="3"/>
      <c r="R1857" s="3"/>
      <c r="S1857" s="3"/>
      <c r="T1857" s="3"/>
      <c r="U1857" s="3"/>
      <c r="V1857" s="3"/>
      <c r="W1857" s="3"/>
      <c r="X1857" s="3"/>
      <c r="Y1857" s="3"/>
      <c r="Z1857" s="3"/>
    </row>
    <row r="1858" spans="1:26" ht="15.6" x14ac:dyDescent="0.3">
      <c r="A1858" s="18" t="s">
        <v>23</v>
      </c>
      <c r="B1858" s="25" t="s">
        <v>1857</v>
      </c>
      <c r="C1858" s="2" t="str">
        <f ca="1">IFERROR(__xludf.DUMMYFUNCTION("GOOGLETRANSLATE(B1858, ""bn"", ""en"")"),"The multifaceted steps to turn Muslims into political targets by ignoring the tradition of communal coexistence and harmony of thousands of years have already been identified as a major violation of human rights in front of the world.")</f>
        <v>The multifaceted steps to turn Muslims into political targets by ignoring the tradition of communal coexistence and harmony of thousands of years have already been identified as a major violation of human rights in front of the world.</v>
      </c>
      <c r="D1858" s="5"/>
      <c r="E1858" s="5"/>
      <c r="F1858" s="5"/>
      <c r="G1858" s="5"/>
      <c r="H1858" s="5"/>
      <c r="I1858" s="5"/>
      <c r="J1858" s="5"/>
      <c r="K1858" s="5"/>
      <c r="L1858" s="5"/>
      <c r="M1858" s="5"/>
      <c r="N1858" s="5"/>
      <c r="O1858" s="5"/>
      <c r="P1858" s="5"/>
      <c r="Q1858" s="5"/>
      <c r="R1858" s="5"/>
      <c r="S1858" s="5"/>
      <c r="T1858" s="5"/>
      <c r="U1858" s="5"/>
      <c r="V1858" s="5"/>
      <c r="W1858" s="5"/>
      <c r="X1858" s="5"/>
      <c r="Y1858" s="5"/>
      <c r="Z1858" s="5"/>
    </row>
    <row r="1859" spans="1:26" ht="15.6" x14ac:dyDescent="0.3">
      <c r="A1859" s="18" t="s">
        <v>3</v>
      </c>
      <c r="B1859" s="25" t="s">
        <v>568</v>
      </c>
      <c r="C1859" s="2" t="str">
        <f ca="1">IFERROR(__xludf.DUMMYFUNCTION("GOOGLETRANSLATE(B1859, ""bn"", ""en"")"),"Alhamdulillah Alhamdulillah tears came to my eyes hearing the words May Allah grant us Jannatul Ferdows Amin")</f>
        <v>Alhamdulillah Alhamdulillah tears came to my eyes hearing the words May Allah grant us Jannatul Ferdows Amin</v>
      </c>
      <c r="D1859" s="2"/>
      <c r="E1859" s="2"/>
      <c r="F1859" s="2"/>
      <c r="G1859" s="2"/>
      <c r="H1859" s="5"/>
      <c r="I1859" s="5"/>
      <c r="J1859" s="5"/>
      <c r="K1859" s="5"/>
      <c r="L1859" s="5"/>
      <c r="M1859" s="5"/>
      <c r="N1859" s="5"/>
      <c r="O1859" s="5"/>
      <c r="P1859" s="5"/>
      <c r="Q1859" s="5"/>
      <c r="R1859" s="5"/>
      <c r="S1859" s="5"/>
      <c r="T1859" s="5"/>
      <c r="U1859" s="5"/>
      <c r="V1859" s="5"/>
      <c r="W1859" s="5"/>
      <c r="X1859" s="5"/>
      <c r="Y1859" s="5"/>
      <c r="Z1859" s="5"/>
    </row>
    <row r="1860" spans="1:26" ht="15.6" x14ac:dyDescent="0.3">
      <c r="A1860" s="18" t="s">
        <v>5</v>
      </c>
      <c r="B1860" s="25" t="s">
        <v>1858</v>
      </c>
      <c r="C1860" s="2" t="str">
        <f ca="1">IFERROR(__xludf.DUMMYFUNCTION("GOOGLETRANSLATE(B1860, ""bn"", ""en"")"),"In Kasganj riots in 2018, several lives were lost and many properties were damaged in Hindu-Muslim clashes.")</f>
        <v>In Kasganj riots in 2018, several lives were lost and many properties were damaged in Hindu-Muslim clashes.</v>
      </c>
      <c r="D1860" s="5"/>
      <c r="E1860" s="5"/>
      <c r="F1860" s="5"/>
      <c r="G1860" s="5"/>
      <c r="H1860" s="5"/>
      <c r="I1860" s="5"/>
      <c r="J1860" s="5"/>
      <c r="K1860" s="5"/>
      <c r="L1860" s="5"/>
      <c r="M1860" s="5"/>
      <c r="N1860" s="5"/>
      <c r="O1860" s="5"/>
      <c r="P1860" s="5"/>
      <c r="Q1860" s="5"/>
      <c r="R1860" s="5"/>
      <c r="S1860" s="5"/>
      <c r="T1860" s="5"/>
      <c r="U1860" s="5"/>
      <c r="V1860" s="5"/>
      <c r="W1860" s="5"/>
      <c r="X1860" s="5"/>
      <c r="Y1860" s="5"/>
      <c r="Z1860" s="5"/>
    </row>
    <row r="1861" spans="1:26" ht="15.6" x14ac:dyDescent="0.3">
      <c r="A1861" s="18" t="s">
        <v>5</v>
      </c>
      <c r="B1861" s="24" t="s">
        <v>1859</v>
      </c>
      <c r="C1861" s="2" t="str">
        <f ca="1">IFERROR(__xludf.DUMMYFUNCTION("GOOGLETRANSLATE(B1861, ""bn"", ""en"")"),"Religious extremists set fire to a school, killing 32 students.")</f>
        <v>Religious extremists set fire to a school, killing 32 students.</v>
      </c>
      <c r="D1861" s="5"/>
      <c r="E1861" s="5"/>
      <c r="F1861" s="5"/>
      <c r="G1861" s="5"/>
      <c r="H1861" s="5"/>
      <c r="I1861" s="5"/>
      <c r="J1861" s="5"/>
      <c r="K1861" s="5"/>
      <c r="L1861" s="5"/>
      <c r="M1861" s="5"/>
      <c r="N1861" s="5"/>
      <c r="O1861" s="5"/>
      <c r="P1861" s="5"/>
      <c r="Q1861" s="5"/>
      <c r="R1861" s="5"/>
      <c r="S1861" s="5"/>
      <c r="T1861" s="5"/>
      <c r="U1861" s="5"/>
      <c r="V1861" s="5"/>
      <c r="W1861" s="5"/>
      <c r="X1861" s="5"/>
      <c r="Y1861" s="5"/>
      <c r="Z1861" s="5"/>
    </row>
    <row r="1862" spans="1:26" ht="15.6" x14ac:dyDescent="0.3">
      <c r="A1862" s="18" t="s">
        <v>8</v>
      </c>
      <c r="B1862" s="25" t="s">
        <v>1860</v>
      </c>
      <c r="C1862" s="2" t="str">
        <f ca="1">IFERROR(__xludf.DUMMYFUNCTION("GOOGLETRANSLATE(B1862, ""bn"", ""en"")"),"Allegations that a Hindu youth insulted Islam by posting on Facebook were spread on Friday afternoon. The attack was carried out in the evening without any opportunity to verify or take any action.")</f>
        <v>Allegations that a Hindu youth insulted Islam by posting on Facebook were spread on Friday afternoon. The attack was carried out in the evening without any opportunity to verify or take any action.</v>
      </c>
      <c r="D1862" s="5"/>
      <c r="E1862" s="5"/>
      <c r="F1862" s="5"/>
      <c r="G1862" s="5"/>
      <c r="H1862" s="5"/>
      <c r="I1862" s="5"/>
      <c r="J1862" s="5"/>
      <c r="K1862" s="5"/>
      <c r="L1862" s="5"/>
      <c r="M1862" s="5"/>
      <c r="N1862" s="5"/>
      <c r="O1862" s="5"/>
      <c r="P1862" s="5"/>
      <c r="Q1862" s="5"/>
      <c r="R1862" s="5"/>
      <c r="S1862" s="5"/>
      <c r="T1862" s="5"/>
      <c r="U1862" s="5"/>
      <c r="V1862" s="5"/>
      <c r="W1862" s="5"/>
      <c r="X1862" s="5"/>
      <c r="Y1862" s="5"/>
      <c r="Z1862" s="5"/>
    </row>
    <row r="1863" spans="1:26" ht="15.6" x14ac:dyDescent="0.3">
      <c r="A1863" s="19" t="s">
        <v>23</v>
      </c>
      <c r="B1863" s="26" t="s">
        <v>1861</v>
      </c>
      <c r="C1863" s="2" t="str">
        <f ca="1">IFERROR(__xludf.DUMMYFUNCTION("GOOGLETRANSLATE(B1863, ""bn"", ""en"")"),"Allah will protect the Book of Allah, Inshallah. May Allah guide those who want to do these things, and if there is no guidance, destroy them with severe punishment.")</f>
        <v>Allah will protect the Book of Allah, Inshallah. May Allah guide those who want to do these things, and if there is no guidance, destroy them with severe punishment.</v>
      </c>
      <c r="D1863" s="5"/>
      <c r="E1863" s="5"/>
      <c r="F1863" s="5"/>
      <c r="G1863" s="5"/>
      <c r="H1863" s="5"/>
      <c r="I1863" s="5"/>
      <c r="J1863" s="5"/>
      <c r="K1863" s="5"/>
      <c r="L1863" s="5"/>
      <c r="M1863" s="5"/>
      <c r="N1863" s="5"/>
      <c r="O1863" s="5"/>
      <c r="P1863" s="5"/>
      <c r="Q1863" s="5"/>
      <c r="R1863" s="5"/>
      <c r="S1863" s="5"/>
      <c r="T1863" s="5"/>
      <c r="U1863" s="5"/>
      <c r="V1863" s="5"/>
      <c r="W1863" s="5"/>
      <c r="X1863" s="5"/>
      <c r="Y1863" s="5"/>
      <c r="Z1863" s="5"/>
    </row>
    <row r="1864" spans="1:26" ht="15.6" x14ac:dyDescent="0.3">
      <c r="A1864" s="18" t="s">
        <v>3</v>
      </c>
      <c r="B1864" s="25" t="s">
        <v>1862</v>
      </c>
      <c r="C1864" s="2" t="str">
        <f ca="1">IFERROR(__xludf.DUMMYFUNCTION("GOOGLETRANSLATE(B1864, ""bn"", ""en"")"),"People of all communities in Bangladesh are part of the culture, Muslims and Hindus—both have contributed to history and traditions.")</f>
        <v>People of all communities in Bangladesh are part of the culture, Muslims and Hindus—both have contributed to history and traditions.</v>
      </c>
      <c r="D1864" s="5"/>
      <c r="E1864" s="5"/>
      <c r="F1864" s="5"/>
      <c r="G1864" s="5"/>
      <c r="H1864" s="5"/>
      <c r="I1864" s="5"/>
      <c r="J1864" s="5"/>
      <c r="K1864" s="5"/>
      <c r="L1864" s="5"/>
      <c r="M1864" s="5"/>
      <c r="N1864" s="5"/>
      <c r="O1864" s="5"/>
      <c r="P1864" s="5"/>
      <c r="Q1864" s="5"/>
      <c r="R1864" s="5"/>
      <c r="S1864" s="5"/>
      <c r="T1864" s="5"/>
      <c r="U1864" s="5"/>
      <c r="V1864" s="5"/>
      <c r="W1864" s="5"/>
      <c r="X1864" s="5"/>
      <c r="Y1864" s="5"/>
      <c r="Z1864" s="5"/>
    </row>
    <row r="1865" spans="1:26" ht="15.6" x14ac:dyDescent="0.3">
      <c r="A1865" s="19" t="s">
        <v>23</v>
      </c>
      <c r="B1865" s="26" t="s">
        <v>1863</v>
      </c>
      <c r="C1865" s="2" t="str">
        <f ca="1">IFERROR(__xludf.DUMMYFUNCTION("GOOGLETRANSLATE(B1865, ""bn"", ""en"")"),"Later, the foreign ministers of Iran, Saudi Arabia and Indonesia spoke in agreement with Bilwal. Indonesian Foreign Minister Retno Marsudi said, stop abusing freedom of expression. Silence means consent.")</f>
        <v>Later, the foreign ministers of Iran, Saudi Arabia and Indonesia spoke in agreement with Bilwal. Indonesian Foreign Minister Retno Marsudi said, stop abusing freedom of expression. Silence means consent.</v>
      </c>
      <c r="D1865" s="5"/>
      <c r="E1865" s="5"/>
      <c r="F1865" s="5"/>
      <c r="G1865" s="5"/>
      <c r="H1865" s="5"/>
      <c r="I1865" s="5"/>
      <c r="J1865" s="5"/>
      <c r="K1865" s="5"/>
      <c r="L1865" s="5"/>
      <c r="M1865" s="5"/>
      <c r="N1865" s="5"/>
      <c r="O1865" s="5"/>
      <c r="P1865" s="5"/>
      <c r="Q1865" s="5"/>
      <c r="R1865" s="5"/>
      <c r="S1865" s="5"/>
      <c r="T1865" s="5"/>
      <c r="U1865" s="5"/>
      <c r="V1865" s="5"/>
      <c r="W1865" s="5"/>
      <c r="X1865" s="5"/>
      <c r="Y1865" s="5"/>
      <c r="Z1865" s="5"/>
    </row>
    <row r="1866" spans="1:26" ht="15.6" x14ac:dyDescent="0.3">
      <c r="A1866" s="18" t="s">
        <v>8</v>
      </c>
      <c r="B1866" s="25" t="s">
        <v>1864</v>
      </c>
      <c r="C1866" s="2" t="str">
        <f ca="1">IFERROR(__xludf.DUMMYFUNCTION("GOOGLETRANSLATE(B1866, ""bn"", ""en"")"),"When people are excited about the rise in commodity prices in the country, communal riots broke out as a new issue and used the Holy Quran as a shield!")</f>
        <v>When people are excited about the rise in commodity prices in the country, communal riots broke out as a new issue and used the Holy Quran as a shield!</v>
      </c>
      <c r="D1866" s="5"/>
      <c r="E1866" s="5"/>
      <c r="F1866" s="5"/>
      <c r="G1866" s="5"/>
      <c r="H1866" s="5"/>
      <c r="I1866" s="5"/>
      <c r="J1866" s="5"/>
      <c r="K1866" s="5"/>
      <c r="L1866" s="5"/>
      <c r="M1866" s="5"/>
      <c r="N1866" s="5"/>
      <c r="O1866" s="5"/>
      <c r="P1866" s="5"/>
      <c r="Q1866" s="5"/>
      <c r="R1866" s="5"/>
      <c r="S1866" s="5"/>
      <c r="T1866" s="5"/>
      <c r="U1866" s="5"/>
      <c r="V1866" s="5"/>
      <c r="W1866" s="5"/>
      <c r="X1866" s="5"/>
      <c r="Y1866" s="5"/>
      <c r="Z1866" s="5"/>
    </row>
    <row r="1867" spans="1:26" ht="15.6" x14ac:dyDescent="0.3">
      <c r="A1867" s="19" t="s">
        <v>23</v>
      </c>
      <c r="B1867" s="26" t="s">
        <v>1865</v>
      </c>
      <c r="C1867" s="2" t="str">
        <f ca="1">IFERROR(__xludf.DUMMYFUNCTION("GOOGLETRANSLATE(B1867, ""bn"", ""en"")"),"Abbas Salimi Namin, a researcher in Tehran, said that burning the Koran is an insult to the religious beliefs of Muslims, and religious values ​​are being insulted in the name of freedom of expression.")</f>
        <v>Abbas Salimi Namin, a researcher in Tehran, said that burning the Koran is an insult to the religious beliefs of Muslims, and religious values ​​are being insulted in the name of freedom of expression.</v>
      </c>
      <c r="D1867" s="7"/>
      <c r="E1867" s="7"/>
      <c r="F1867" s="7"/>
      <c r="G1867" s="7"/>
      <c r="H1867" s="7"/>
      <c r="I1867" s="7"/>
      <c r="J1867" s="7"/>
      <c r="K1867" s="7"/>
      <c r="L1867" s="7"/>
      <c r="M1867" s="7"/>
      <c r="N1867" s="5"/>
      <c r="O1867" s="5"/>
      <c r="P1867" s="5"/>
      <c r="Q1867" s="5"/>
      <c r="R1867" s="5"/>
      <c r="S1867" s="5"/>
      <c r="T1867" s="5"/>
      <c r="U1867" s="5"/>
      <c r="V1867" s="5"/>
      <c r="W1867" s="5"/>
      <c r="X1867" s="5"/>
      <c r="Y1867" s="5"/>
      <c r="Z1867" s="5"/>
    </row>
    <row r="1868" spans="1:26" ht="15.6" x14ac:dyDescent="0.3">
      <c r="A1868" s="19" t="s">
        <v>3</v>
      </c>
      <c r="B1868" s="26" t="s">
        <v>1866</v>
      </c>
      <c r="C1868" s="2" t="str">
        <f ca="1">IFERROR(__xludf.DUMMYFUNCTION("GOOGLETRANSLATE(B1868, ""bn"", ""en"")"),"The Muslims marched through the Abdullah Pass, leaving the place called Khalayek on the left. After reaching the plains of Yaliyal through the left route, halted at the junction of Yaliyal and Dabur.")</f>
        <v>The Muslims marched through the Abdullah Pass, leaving the place called Khalayek on the left. After reaching the plains of Yaliyal through the left route, halted at the junction of Yaliyal and Dabur.</v>
      </c>
      <c r="D1868" s="5"/>
      <c r="E1868" s="5"/>
      <c r="F1868" s="5"/>
      <c r="G1868" s="5"/>
      <c r="H1868" s="5"/>
      <c r="I1868" s="5"/>
      <c r="J1868" s="5"/>
      <c r="K1868" s="5"/>
      <c r="L1868" s="5"/>
      <c r="M1868" s="5"/>
      <c r="N1868" s="5"/>
      <c r="O1868" s="5"/>
      <c r="P1868" s="5"/>
      <c r="Q1868" s="5"/>
      <c r="R1868" s="5"/>
      <c r="S1868" s="5"/>
      <c r="T1868" s="5"/>
      <c r="U1868" s="5"/>
      <c r="V1868" s="5"/>
      <c r="W1868" s="5"/>
      <c r="X1868" s="5"/>
      <c r="Y1868" s="5"/>
      <c r="Z1868" s="5"/>
    </row>
    <row r="1869" spans="1:26" ht="15.6" x14ac:dyDescent="0.3">
      <c r="A1869" s="19" t="s">
        <v>23</v>
      </c>
      <c r="B1869" s="26" t="s">
        <v>1867</v>
      </c>
      <c r="C1869" s="2" t="str">
        <f ca="1">IFERROR(__xludf.DUMMYFUNCTION("GOOGLETRANSLATE(B1869, ""bn"", ""en"")"),"Beauty Rani Mondal said that the attackers shouted slogans of 'Allahu Akbar' and 'Kill the Hindus'.")</f>
        <v>Beauty Rani Mondal said that the attackers shouted slogans of 'Allahu Akbar' and 'Kill the Hindus'.</v>
      </c>
      <c r="D1869" s="7"/>
      <c r="E1869" s="5"/>
      <c r="F1869" s="5"/>
      <c r="G1869" s="5"/>
      <c r="H1869" s="5"/>
      <c r="I1869" s="5"/>
      <c r="J1869" s="5"/>
      <c r="K1869" s="5"/>
      <c r="L1869" s="5"/>
      <c r="M1869" s="5"/>
      <c r="N1869" s="5"/>
      <c r="O1869" s="5"/>
      <c r="P1869" s="5"/>
      <c r="Q1869" s="5"/>
      <c r="R1869" s="5"/>
      <c r="S1869" s="5"/>
      <c r="T1869" s="5"/>
      <c r="U1869" s="5"/>
      <c r="V1869" s="5"/>
      <c r="W1869" s="5"/>
      <c r="X1869" s="5"/>
      <c r="Y1869" s="5"/>
      <c r="Z1869" s="5"/>
    </row>
    <row r="1870" spans="1:26" ht="15.6" x14ac:dyDescent="0.3">
      <c r="A1870" s="19" t="s">
        <v>3</v>
      </c>
      <c r="B1870" s="26" t="s">
        <v>1868</v>
      </c>
      <c r="C1870" s="2" t="str">
        <f ca="1">IFERROR(__xludf.DUMMYFUNCTION("GOOGLETRANSLATE(B1870, ""bn"", ""en"")"),"Your writing is contemporary and a reflection of communal harmony. It has increased the respect and love of people of different religions.")</f>
        <v>Your writing is contemporary and a reflection of communal harmony. It has increased the respect and love of people of different religions.</v>
      </c>
      <c r="D1870" s="7"/>
      <c r="E1870" s="7"/>
      <c r="F1870" s="7"/>
      <c r="G1870" s="7"/>
      <c r="H1870" s="7"/>
      <c r="I1870" s="5"/>
      <c r="J1870" s="5"/>
      <c r="K1870" s="5"/>
      <c r="L1870" s="5"/>
      <c r="M1870" s="5"/>
      <c r="N1870" s="5"/>
      <c r="O1870" s="5"/>
      <c r="P1870" s="5"/>
      <c r="Q1870" s="5"/>
      <c r="R1870" s="5"/>
      <c r="S1870" s="5"/>
      <c r="T1870" s="5"/>
      <c r="U1870" s="5"/>
      <c r="V1870" s="5"/>
      <c r="W1870" s="5"/>
      <c r="X1870" s="5"/>
      <c r="Y1870" s="5"/>
      <c r="Z1870" s="5"/>
    </row>
    <row r="1871" spans="1:26" ht="15.6" x14ac:dyDescent="0.3">
      <c r="A1871" s="19" t="s">
        <v>5</v>
      </c>
      <c r="B1871" s="26" t="s">
        <v>1869</v>
      </c>
      <c r="C1871" s="2" t="str">
        <f ca="1">IFERROR(__xludf.DUMMYFUNCTION("GOOGLETRANSLATE(B1871, ""bn"", ""en"")"),"In this, many people lose their clear thinking power and as a last resort, they choose the terrible and cruel act of suicide. He no longer has the opportunity to think about the consequences of eternal life hereafter.")</f>
        <v>In this, many people lose their clear thinking power and as a last resort, they choose the terrible and cruel act of suicide. He no longer has the opportunity to think about the consequences of eternal life hereafter.</v>
      </c>
      <c r="D1871" s="5"/>
      <c r="E1871" s="5"/>
      <c r="F1871" s="5"/>
      <c r="G1871" s="5"/>
      <c r="H1871" s="5"/>
      <c r="I1871" s="5"/>
      <c r="J1871" s="5"/>
      <c r="K1871" s="5"/>
      <c r="L1871" s="5"/>
      <c r="M1871" s="5"/>
      <c r="N1871" s="5"/>
      <c r="O1871" s="5"/>
      <c r="P1871" s="5"/>
      <c r="Q1871" s="5"/>
      <c r="R1871" s="5"/>
      <c r="S1871" s="5"/>
      <c r="T1871" s="5"/>
      <c r="U1871" s="5"/>
      <c r="V1871" s="5"/>
      <c r="W1871" s="5"/>
      <c r="X1871" s="5"/>
      <c r="Y1871" s="5"/>
      <c r="Z1871" s="5"/>
    </row>
    <row r="1872" spans="1:26" ht="15.6" x14ac:dyDescent="0.3">
      <c r="A1872" s="19" t="s">
        <v>23</v>
      </c>
      <c r="B1872" s="26" t="s">
        <v>1870</v>
      </c>
      <c r="C1872" s="2" t="str">
        <f ca="1">IFERROR(__xludf.DUMMYFUNCTION("GOOGLETRANSLATE(B1872, ""bn"", ""en"")"),"A Muslim is greater than a Christian and a Hindu because they deny their own scriptures and blindly follow religious leaders.")</f>
        <v>A Muslim is greater than a Christian and a Hindu because they deny their own scriptures and blindly follow religious leaders.</v>
      </c>
      <c r="D1872" s="7"/>
      <c r="E1872" s="7"/>
      <c r="F1872" s="7"/>
      <c r="G1872" s="7"/>
      <c r="H1872" s="7"/>
      <c r="I1872" s="7"/>
      <c r="J1872" s="5"/>
      <c r="K1872" s="5"/>
      <c r="L1872" s="5"/>
      <c r="M1872" s="5"/>
      <c r="N1872" s="5"/>
      <c r="O1872" s="5"/>
      <c r="P1872" s="5"/>
      <c r="Q1872" s="5"/>
      <c r="R1872" s="5"/>
      <c r="S1872" s="5"/>
      <c r="T1872" s="5"/>
      <c r="U1872" s="5"/>
      <c r="V1872" s="5"/>
      <c r="W1872" s="5"/>
      <c r="X1872" s="5"/>
      <c r="Y1872" s="5"/>
      <c r="Z1872" s="5"/>
    </row>
    <row r="1873" spans="1:26" ht="15.6" x14ac:dyDescent="0.3">
      <c r="A1873" s="18" t="s">
        <v>5</v>
      </c>
      <c r="B1873" s="24" t="s">
        <v>1871</v>
      </c>
      <c r="C1873" s="2" t="str">
        <f ca="1">IFERROR(__xludf.DUMMYFUNCTION("GOOGLETRANSLATE(B1873, ""bn"", ""en"")"),"A Muslim businessman was beaten to death for allegedly serving 'beef', although the food was later revealed to be vegetarian. Total killed: 1 person.")</f>
        <v>A Muslim businessman was beaten to death for allegedly serving 'beef', although the food was later revealed to be vegetarian. Total killed: 1 person.</v>
      </c>
      <c r="D1873" s="5"/>
      <c r="E1873" s="5"/>
      <c r="F1873" s="5"/>
      <c r="G1873" s="5"/>
      <c r="H1873" s="5"/>
      <c r="I1873" s="5"/>
      <c r="J1873" s="5"/>
      <c r="K1873" s="5"/>
      <c r="L1873" s="5"/>
      <c r="M1873" s="5"/>
      <c r="N1873" s="5"/>
      <c r="O1873" s="5"/>
      <c r="P1873" s="5"/>
      <c r="Q1873" s="5"/>
      <c r="R1873" s="5"/>
      <c r="S1873" s="5"/>
      <c r="T1873" s="5"/>
      <c r="U1873" s="5"/>
      <c r="V1873" s="5"/>
      <c r="W1873" s="5"/>
      <c r="X1873" s="5"/>
      <c r="Y1873" s="5"/>
      <c r="Z1873" s="5"/>
    </row>
    <row r="1874" spans="1:26" ht="15.6" x14ac:dyDescent="0.3">
      <c r="A1874" s="18" t="s">
        <v>23</v>
      </c>
      <c r="B1874" s="25" t="s">
        <v>1872</v>
      </c>
      <c r="C1874" s="2" t="str">
        <f ca="1">IFERROR(__xludf.DUMMYFUNCTION("GOOGLETRANSLATE(B1874, ""bn"", ""en"")"),"The Rajakars or their descendants never sought independence.")</f>
        <v>The Rajakars or their descendants never sought independence.</v>
      </c>
      <c r="D1874" s="6"/>
      <c r="E1874" s="6"/>
      <c r="F1874" s="6"/>
      <c r="G1874" s="6"/>
      <c r="H1874" s="3"/>
      <c r="I1874" s="3"/>
      <c r="J1874" s="3"/>
      <c r="K1874" s="3"/>
      <c r="L1874" s="3"/>
      <c r="M1874" s="3"/>
      <c r="N1874" s="3"/>
      <c r="O1874" s="3"/>
      <c r="P1874" s="3"/>
      <c r="Q1874" s="3"/>
      <c r="R1874" s="3"/>
      <c r="S1874" s="3"/>
      <c r="T1874" s="3"/>
      <c r="U1874" s="3"/>
      <c r="V1874" s="3"/>
      <c r="W1874" s="3"/>
      <c r="X1874" s="3"/>
      <c r="Y1874" s="3"/>
      <c r="Z1874" s="3"/>
    </row>
    <row r="1875" spans="1:26" ht="15.6" x14ac:dyDescent="0.3">
      <c r="A1875" s="19" t="s">
        <v>8</v>
      </c>
      <c r="B1875" s="26" t="s">
        <v>1873</v>
      </c>
      <c r="C1875" s="2" t="str">
        <f ca="1">IFERROR(__xludf.DUMMYFUNCTION("GOOGLETRANSLATE(B1875, ""bn"", ""en"")"),"Before the abduction, Mila Kar's father, grandfather and her child were slaughtered by a Muslim mob in front of her. Rahmat Ali, son of a respected magistrate named Barik Mian, is forcefully married to a married girl named Renubala.")</f>
        <v>Before the abduction, Mila Kar's father, grandfather and her child were slaughtered by a Muslim mob in front of her. Rahmat Ali, son of a respected magistrate named Barik Mian, is forcefully married to a married girl named Renubala.</v>
      </c>
      <c r="D1875" s="5"/>
      <c r="E1875" s="5"/>
      <c r="F1875" s="5"/>
      <c r="G1875" s="5"/>
      <c r="H1875" s="5"/>
      <c r="I1875" s="5"/>
      <c r="J1875" s="5"/>
      <c r="K1875" s="5"/>
      <c r="L1875" s="5"/>
      <c r="M1875" s="5"/>
      <c r="N1875" s="5"/>
      <c r="O1875" s="5"/>
      <c r="P1875" s="5"/>
      <c r="Q1875" s="5"/>
      <c r="R1875" s="5"/>
      <c r="S1875" s="5"/>
      <c r="T1875" s="5"/>
      <c r="U1875" s="5"/>
      <c r="V1875" s="5"/>
      <c r="W1875" s="5"/>
      <c r="X1875" s="5"/>
      <c r="Y1875" s="5"/>
      <c r="Z1875" s="5"/>
    </row>
    <row r="1876" spans="1:26" ht="15.6" x14ac:dyDescent="0.3">
      <c r="A1876" s="18" t="s">
        <v>3</v>
      </c>
      <c r="B1876" s="25" t="s">
        <v>1874</v>
      </c>
      <c r="C1876" s="2" t="str">
        <f ca="1">IFERROR(__xludf.DUMMYFUNCTION("GOOGLETRANSLATE(B1876, ""bn"", ""en"")"),"Cooperation and solidarity between Hindus and Muslims inculcates the spirit of trust and love for each other, and without creating differences between them, a healthy and peaceful society is formed.")</f>
        <v>Cooperation and solidarity between Hindus and Muslims inculcates the spirit of trust and love for each other, and without creating differences between them, a healthy and peaceful society is formed.</v>
      </c>
      <c r="D1876" s="2"/>
      <c r="E1876" s="2"/>
      <c r="F1876" s="2"/>
      <c r="G1876" s="2"/>
      <c r="H1876" s="3"/>
      <c r="I1876" s="3"/>
      <c r="J1876" s="3"/>
      <c r="K1876" s="3"/>
      <c r="L1876" s="3"/>
      <c r="M1876" s="3"/>
      <c r="N1876" s="3"/>
      <c r="O1876" s="3"/>
      <c r="P1876" s="3"/>
      <c r="Q1876" s="3"/>
      <c r="R1876" s="3"/>
      <c r="S1876" s="3"/>
      <c r="T1876" s="3"/>
      <c r="U1876" s="3"/>
      <c r="V1876" s="3"/>
      <c r="W1876" s="3"/>
      <c r="X1876" s="3"/>
      <c r="Y1876" s="3"/>
      <c r="Z1876" s="3"/>
    </row>
    <row r="1877" spans="1:26" ht="15.6" x14ac:dyDescent="0.3">
      <c r="A1877" s="18" t="s">
        <v>8</v>
      </c>
      <c r="B1877" s="24" t="s">
        <v>1875</v>
      </c>
      <c r="C1877" s="2" t="str">
        <f ca="1">IFERROR(__xludf.DUMMYFUNCTION("GOOGLETRANSLATE(B1877, ""bn"", ""en"")"),"On August 28, 2023, a Mansa temple was attacked in the early hours of the morning at Ramganj in Lakshmipur district and all the idols were broken and thrown into the nearby canal.")</f>
        <v>On August 28, 2023, a Mansa temple was attacked in the early hours of the morning at Ramganj in Lakshmipur district and all the idols were broken and thrown into the nearby canal.</v>
      </c>
      <c r="D1877" s="5"/>
      <c r="E1877" s="5"/>
      <c r="F1877" s="5"/>
      <c r="G1877" s="5"/>
      <c r="H1877" s="5"/>
      <c r="I1877" s="5"/>
      <c r="J1877" s="5"/>
      <c r="K1877" s="5"/>
      <c r="L1877" s="5"/>
      <c r="M1877" s="5"/>
      <c r="N1877" s="5"/>
      <c r="O1877" s="5"/>
      <c r="P1877" s="5"/>
      <c r="Q1877" s="5"/>
      <c r="R1877" s="5"/>
      <c r="S1877" s="5"/>
      <c r="T1877" s="5"/>
      <c r="U1877" s="5"/>
      <c r="V1877" s="5"/>
      <c r="W1877" s="5"/>
      <c r="X1877" s="5"/>
      <c r="Y1877" s="5"/>
      <c r="Z1877" s="5"/>
    </row>
    <row r="1878" spans="1:26" ht="15.6" x14ac:dyDescent="0.3">
      <c r="A1878" s="18" t="s">
        <v>23</v>
      </c>
      <c r="B1878" s="25" t="s">
        <v>1876</v>
      </c>
      <c r="C1878" s="2" t="str">
        <f ca="1">IFERROR(__xludf.DUMMYFUNCTION("GOOGLETRANSLATE(B1878, ""bn"", ""en"")"),"There is a limit to the hypocrisy of their religious elders, there is a palm within a mole and a bark within them.")</f>
        <v>There is a limit to the hypocrisy of their religious elders, there is a palm within a mole and a bark within them.</v>
      </c>
      <c r="D1878" s="5"/>
      <c r="E1878" s="5"/>
      <c r="F1878" s="5"/>
      <c r="G1878" s="5"/>
      <c r="H1878" s="5"/>
      <c r="I1878" s="5"/>
      <c r="J1878" s="5"/>
      <c r="K1878" s="5"/>
      <c r="L1878" s="5"/>
      <c r="M1878" s="5"/>
      <c r="N1878" s="5"/>
      <c r="O1878" s="5"/>
      <c r="P1878" s="5"/>
      <c r="Q1878" s="5"/>
      <c r="R1878" s="5"/>
      <c r="S1878" s="5"/>
      <c r="T1878" s="5"/>
      <c r="U1878" s="5"/>
      <c r="V1878" s="5"/>
      <c r="W1878" s="5"/>
      <c r="X1878" s="5"/>
      <c r="Y1878" s="5"/>
      <c r="Z1878" s="5"/>
    </row>
    <row r="1879" spans="1:26" ht="15.6" x14ac:dyDescent="0.3">
      <c r="A1879" s="18" t="s">
        <v>23</v>
      </c>
      <c r="B1879" s="25" t="s">
        <v>1877</v>
      </c>
      <c r="C1879" s="2" t="str">
        <f ca="1">IFERROR(__xludf.DUMMYFUNCTION("GOOGLETRANSLATE(B1879, ""bn"", ""en"")"),"It seems to me that Bengali Hindus have suddenly fallen into a deep crisis of self-identity. Our religion is the only tool to save us from this crisis.")</f>
        <v>It seems to me that Bengali Hindus have suddenly fallen into a deep crisis of self-identity. Our religion is the only tool to save us from this crisis.</v>
      </c>
      <c r="D1879" s="2"/>
      <c r="E1879" s="2"/>
      <c r="F1879" s="2"/>
      <c r="G1879" s="2"/>
      <c r="H1879" s="5"/>
      <c r="I1879" s="5"/>
      <c r="J1879" s="5"/>
      <c r="K1879" s="5"/>
      <c r="L1879" s="5"/>
      <c r="M1879" s="5"/>
      <c r="N1879" s="5"/>
      <c r="O1879" s="5"/>
      <c r="P1879" s="5"/>
      <c r="Q1879" s="5"/>
      <c r="R1879" s="5"/>
      <c r="S1879" s="5"/>
      <c r="T1879" s="5"/>
      <c r="U1879" s="5"/>
      <c r="V1879" s="5"/>
      <c r="W1879" s="5"/>
      <c r="X1879" s="5"/>
      <c r="Y1879" s="5"/>
      <c r="Z1879" s="5"/>
    </row>
    <row r="1880" spans="1:26" ht="15.6" x14ac:dyDescent="0.3">
      <c r="A1880" s="18" t="s">
        <v>5</v>
      </c>
      <c r="B1880" s="24" t="s">
        <v>1878</v>
      </c>
      <c r="C1880" s="2" t="str">
        <f ca="1">IFERROR(__xludf.DUMMYFUNCTION("GOOGLETRANSLATE(B1880, ""bn"", ""en"")"),"In October 1999, nine people were killed and 35 injured in a bomb attack on the Ahmadiyya Mosque in Khulna.")</f>
        <v>In October 1999, nine people were killed and 35 injured in a bomb attack on the Ahmadiyya Mosque in Khulna.</v>
      </c>
      <c r="D1880" s="5"/>
      <c r="E1880" s="5"/>
      <c r="F1880" s="5"/>
      <c r="G1880" s="5"/>
      <c r="H1880" s="5"/>
      <c r="I1880" s="5"/>
      <c r="J1880" s="5"/>
      <c r="K1880" s="5"/>
      <c r="L1880" s="5"/>
      <c r="M1880" s="5"/>
      <c r="N1880" s="5"/>
      <c r="O1880" s="5"/>
      <c r="P1880" s="5"/>
      <c r="Q1880" s="5"/>
      <c r="R1880" s="5"/>
      <c r="S1880" s="5"/>
      <c r="T1880" s="5"/>
      <c r="U1880" s="5"/>
      <c r="V1880" s="5"/>
      <c r="W1880" s="5"/>
      <c r="X1880" s="5"/>
      <c r="Y1880" s="5"/>
      <c r="Z1880" s="5"/>
    </row>
    <row r="1881" spans="1:26" ht="15.6" x14ac:dyDescent="0.3">
      <c r="A1881" s="18" t="s">
        <v>5</v>
      </c>
      <c r="B1881" s="25" t="s">
        <v>1879</v>
      </c>
      <c r="C1881" s="2" t="str">
        <f ca="1">IFERROR(__xludf.DUMMYFUNCTION("GOOGLETRANSLATE(B1881, ""bn"", ""en"")"),"Martyr Nabi Jewel was beaten to death and burnt in Lalmonirhat on rumors of blasphemy. The incident was not a suicide but a brutal murder motivated by religious hatred.")</f>
        <v>Martyr Nabi Jewel was beaten to death and burnt in Lalmonirhat on rumors of blasphemy. The incident was not a suicide but a brutal murder motivated by religious hatred.</v>
      </c>
      <c r="D1881" s="5"/>
      <c r="E1881" s="5"/>
      <c r="F1881" s="5"/>
      <c r="G1881" s="5"/>
      <c r="H1881" s="5"/>
      <c r="I1881" s="5"/>
      <c r="J1881" s="5"/>
      <c r="K1881" s="5"/>
      <c r="L1881" s="5"/>
      <c r="M1881" s="5"/>
      <c r="N1881" s="5"/>
      <c r="O1881" s="5"/>
      <c r="P1881" s="5"/>
      <c r="Q1881" s="5"/>
      <c r="R1881" s="5"/>
      <c r="S1881" s="5"/>
      <c r="T1881" s="5"/>
      <c r="U1881" s="5"/>
      <c r="V1881" s="5"/>
      <c r="W1881" s="5"/>
      <c r="X1881" s="5"/>
      <c r="Y1881" s="5"/>
      <c r="Z1881" s="5"/>
    </row>
    <row r="1882" spans="1:26" ht="15.6" x14ac:dyDescent="0.3">
      <c r="A1882" s="19" t="s">
        <v>23</v>
      </c>
      <c r="B1882" s="26" t="s">
        <v>1880</v>
      </c>
      <c r="C1882" s="2" t="str">
        <f ca="1">IFERROR(__xludf.DUMMYFUNCTION("GOOGLETRANSLATE(B1882, ""bn"", ""en"")"),"Please don't be overzealous and spread the venom of communalism. Demand justice through processions but do not quarrel with anyone.")</f>
        <v>Please don't be overzealous and spread the venom of communalism. Demand justice through processions but do not quarrel with anyone.</v>
      </c>
      <c r="D1882" s="5"/>
      <c r="E1882" s="5"/>
      <c r="F1882" s="5"/>
      <c r="G1882" s="5"/>
      <c r="H1882" s="5"/>
      <c r="I1882" s="5"/>
      <c r="J1882" s="5"/>
      <c r="K1882" s="5"/>
      <c r="L1882" s="5"/>
      <c r="M1882" s="5"/>
      <c r="N1882" s="5"/>
      <c r="O1882" s="5"/>
      <c r="P1882" s="5"/>
      <c r="Q1882" s="5"/>
      <c r="R1882" s="5"/>
      <c r="S1882" s="5"/>
      <c r="T1882" s="5"/>
      <c r="U1882" s="5"/>
      <c r="V1882" s="5"/>
      <c r="W1882" s="5"/>
      <c r="X1882" s="5"/>
      <c r="Y1882" s="5"/>
      <c r="Z1882" s="5"/>
    </row>
    <row r="1883" spans="1:26" ht="15.6" x14ac:dyDescent="0.3">
      <c r="A1883" s="19" t="s">
        <v>8</v>
      </c>
      <c r="B1883" s="26" t="s">
        <v>1881</v>
      </c>
      <c r="C1883" s="2" t="str">
        <f ca="1">IFERROR(__xludf.DUMMYFUNCTION("GOOGLETRANSLATE(B1883, ""bn"", ""en"")"),"The Muslim community is angry about keeping the Holy Quran Sharif in the shrine. Now the fear of mass police action is in the mind of one group, the fear of continued attack by that group is in the mind of another group. Everyone is defeated, degraded, af"&amp;"raid.")</f>
        <v>The Muslim community is angry about keeping the Holy Quran Sharif in the shrine. Now the fear of mass police action is in the mind of one group, the fear of continued attack by that group is in the mind of another group. Everyone is defeated, degraded, afraid.</v>
      </c>
      <c r="D1883" s="5"/>
      <c r="E1883" s="5"/>
      <c r="F1883" s="5"/>
      <c r="G1883" s="5"/>
      <c r="H1883" s="5"/>
      <c r="I1883" s="5"/>
      <c r="J1883" s="5"/>
      <c r="K1883" s="5"/>
      <c r="L1883" s="5"/>
      <c r="M1883" s="5"/>
      <c r="N1883" s="5"/>
      <c r="O1883" s="5"/>
      <c r="P1883" s="5"/>
      <c r="Q1883" s="5"/>
      <c r="R1883" s="5"/>
      <c r="S1883" s="5"/>
      <c r="T1883" s="5"/>
      <c r="U1883" s="5"/>
      <c r="V1883" s="5"/>
      <c r="W1883" s="5"/>
      <c r="X1883" s="5"/>
      <c r="Y1883" s="5"/>
      <c r="Z1883" s="5"/>
    </row>
    <row r="1884" spans="1:26" ht="15.6" x14ac:dyDescent="0.3">
      <c r="A1884" s="18" t="s">
        <v>23</v>
      </c>
      <c r="B1884" s="25" t="s">
        <v>1882</v>
      </c>
      <c r="C1884" s="2" t="str">
        <f ca="1">IFERROR(__xludf.DUMMYFUNCTION("GOOGLETRANSLATE(B1884, ""bn"", ""en"")"),"Are all teachers/scholars insulting the Qur'an? Scholars say only read the Koran or become an atheist! Re-telling the Qur'an in short. Saying this is not an insult to the Qur'an!")</f>
        <v>Are all teachers/scholars insulting the Qur'an? Scholars say only read the Koran or become an atheist! Re-telling the Qur'an in short. Saying this is not an insult to the Qur'an!</v>
      </c>
      <c r="D1884" s="2"/>
      <c r="E1884" s="2"/>
      <c r="F1884" s="2"/>
      <c r="G1884" s="2"/>
      <c r="H1884" s="5"/>
      <c r="I1884" s="5"/>
      <c r="J1884" s="5"/>
      <c r="K1884" s="5"/>
      <c r="L1884" s="5"/>
      <c r="M1884" s="5"/>
      <c r="N1884" s="5"/>
      <c r="O1884" s="5"/>
      <c r="P1884" s="5"/>
      <c r="Q1884" s="5"/>
      <c r="R1884" s="5"/>
      <c r="S1884" s="5"/>
      <c r="T1884" s="5"/>
      <c r="U1884" s="5"/>
      <c r="V1884" s="5"/>
      <c r="W1884" s="5"/>
      <c r="X1884" s="5"/>
      <c r="Y1884" s="5"/>
      <c r="Z1884" s="5"/>
    </row>
    <row r="1885" spans="1:26" ht="15.6" x14ac:dyDescent="0.3">
      <c r="A1885" s="19" t="s">
        <v>23</v>
      </c>
      <c r="B1885" s="26" t="s">
        <v>1883</v>
      </c>
      <c r="C1885" s="2" t="str">
        <f ca="1">IFERROR(__xludf.DUMMYFUNCTION("GOOGLETRANSLATE(B1885, ""bn"", ""en"")"),"Today's Masjid Masjid program will burn like pepper powder to the so-called Ahl al-Hadith")</f>
        <v>Today's Masjid Masjid program will burn like pepper powder to the so-called Ahl al-Hadith</v>
      </c>
      <c r="D1885" s="5"/>
      <c r="E1885" s="5"/>
      <c r="F1885" s="5"/>
      <c r="G1885" s="5"/>
      <c r="H1885" s="5"/>
      <c r="I1885" s="5"/>
      <c r="J1885" s="5"/>
      <c r="K1885" s="5"/>
      <c r="L1885" s="5"/>
      <c r="M1885" s="5"/>
      <c r="N1885" s="5"/>
      <c r="O1885" s="5"/>
      <c r="P1885" s="5"/>
      <c r="Q1885" s="5"/>
      <c r="R1885" s="5"/>
      <c r="S1885" s="5"/>
      <c r="T1885" s="5"/>
      <c r="U1885" s="5"/>
      <c r="V1885" s="5"/>
      <c r="W1885" s="5"/>
      <c r="X1885" s="5"/>
      <c r="Y1885" s="5"/>
      <c r="Z1885" s="5"/>
    </row>
    <row r="1886" spans="1:26" ht="15.6" x14ac:dyDescent="0.3">
      <c r="A1886" s="18" t="s">
        <v>3</v>
      </c>
      <c r="B1886" s="25" t="s">
        <v>1884</v>
      </c>
      <c r="C1886" s="2" t="str">
        <f ca="1">IFERROR(__xludf.DUMMYFUNCTION("GOOGLETRANSLATE(B1886, ""bn"", ""en"")"),"A discussion on the issues of religious reform and superstition will create awareness among all.")</f>
        <v>A discussion on the issues of religious reform and superstition will create awareness among all.</v>
      </c>
      <c r="D1886" s="2"/>
      <c r="E1886" s="2"/>
      <c r="F1886" s="2"/>
      <c r="G1886" s="2"/>
      <c r="H1886" s="3"/>
      <c r="I1886" s="3"/>
      <c r="J1886" s="3"/>
      <c r="K1886" s="3"/>
      <c r="L1886" s="3"/>
      <c r="M1886" s="3"/>
      <c r="N1886" s="3"/>
      <c r="O1886" s="3"/>
      <c r="P1886" s="3"/>
      <c r="Q1886" s="3"/>
      <c r="R1886" s="3"/>
      <c r="S1886" s="3"/>
      <c r="T1886" s="3"/>
      <c r="U1886" s="3"/>
      <c r="V1886" s="3"/>
      <c r="W1886" s="3"/>
      <c r="X1886" s="3"/>
      <c r="Y1886" s="3"/>
      <c r="Z1886" s="3"/>
    </row>
    <row r="1887" spans="1:26" ht="15.6" x14ac:dyDescent="0.3">
      <c r="A1887" s="18" t="s">
        <v>23</v>
      </c>
      <c r="B1887" s="25" t="s">
        <v>1885</v>
      </c>
      <c r="C1887" s="2" t="str">
        <f ca="1">IFERROR(__xludf.DUMMYFUNCTION("GOOGLETRANSLATE(B1887, ""bn"", ""en"")"),"Mind cannot be posted which is against religion. Anti-religious posts will be banned from the group without notice")</f>
        <v>Mind cannot be posted which is against religion. Anti-religious posts will be banned from the group without notice</v>
      </c>
      <c r="D1887" s="5"/>
      <c r="E1887" s="5"/>
      <c r="F1887" s="5"/>
      <c r="G1887" s="5"/>
      <c r="H1887" s="5"/>
      <c r="I1887" s="5"/>
      <c r="J1887" s="5"/>
      <c r="K1887" s="5"/>
      <c r="L1887" s="5"/>
      <c r="M1887" s="5"/>
      <c r="N1887" s="5"/>
      <c r="O1887" s="5"/>
      <c r="P1887" s="5"/>
      <c r="Q1887" s="5"/>
      <c r="R1887" s="5"/>
      <c r="S1887" s="5"/>
      <c r="T1887" s="5"/>
      <c r="U1887" s="5"/>
      <c r="V1887" s="5"/>
      <c r="W1887" s="5"/>
      <c r="X1887" s="5"/>
      <c r="Y1887" s="5"/>
      <c r="Z1887" s="5"/>
    </row>
    <row r="1888" spans="1:26" ht="15.6" x14ac:dyDescent="0.3">
      <c r="A1888" s="19" t="s">
        <v>23</v>
      </c>
      <c r="B1888" s="26" t="s">
        <v>1886</v>
      </c>
      <c r="C1888" s="2" t="str">
        <f ca="1">IFERROR(__xludf.DUMMYFUNCTION("GOOGLETRANSLATE(B1888, ""bn"", ""en"")"),"My heart felt very happy for those who do religion business, comment on Islam religion in any channel or video.")</f>
        <v>My heart felt very happy for those who do religion business, comment on Islam religion in any channel or video.</v>
      </c>
      <c r="D1888" s="7"/>
      <c r="E1888" s="7"/>
      <c r="F1888" s="7"/>
      <c r="G1888" s="7"/>
      <c r="H1888" s="7"/>
      <c r="I1888" s="5"/>
      <c r="J1888" s="5"/>
      <c r="K1888" s="5"/>
      <c r="L1888" s="5"/>
      <c r="M1888" s="5"/>
      <c r="N1888" s="5"/>
      <c r="O1888" s="5"/>
      <c r="P1888" s="5"/>
      <c r="Q1888" s="5"/>
      <c r="R1888" s="5"/>
      <c r="S1888" s="5"/>
      <c r="T1888" s="5"/>
      <c r="U1888" s="5"/>
      <c r="V1888" s="5"/>
      <c r="W1888" s="5"/>
      <c r="X1888" s="5"/>
      <c r="Y1888" s="5"/>
      <c r="Z1888" s="5"/>
    </row>
    <row r="1889" spans="1:26" ht="15.6" x14ac:dyDescent="0.3">
      <c r="A1889" s="18" t="s">
        <v>5</v>
      </c>
      <c r="B1889" s="25" t="s">
        <v>1887</v>
      </c>
      <c r="C1889" s="2" t="str">
        <f ca="1">IFERROR(__xludf.DUMMYFUNCTION("GOOGLETRANSLATE(B1889, ""bn"", ""en"")"),"Bloody violence sparked by religious tensions in the 1980s resulted in massacres, rapes and suicides, with hundreds of innocent Muslims killed in clashes with the police.")</f>
        <v>Bloody violence sparked by religious tensions in the 1980s resulted in massacres, rapes and suicides, with hundreds of innocent Muslims killed in clashes with the police.</v>
      </c>
      <c r="D1889" s="5"/>
      <c r="E1889" s="5"/>
      <c r="F1889" s="5"/>
      <c r="G1889" s="5"/>
      <c r="H1889" s="5"/>
      <c r="I1889" s="5"/>
      <c r="J1889" s="5"/>
      <c r="K1889" s="5"/>
      <c r="L1889" s="5"/>
      <c r="M1889" s="5"/>
      <c r="N1889" s="5"/>
      <c r="O1889" s="5"/>
      <c r="P1889" s="5"/>
      <c r="Q1889" s="5"/>
      <c r="R1889" s="5"/>
      <c r="S1889" s="5"/>
      <c r="T1889" s="5"/>
      <c r="U1889" s="5"/>
      <c r="V1889" s="5"/>
      <c r="W1889" s="5"/>
      <c r="X1889" s="5"/>
      <c r="Y1889" s="5"/>
      <c r="Z1889" s="5"/>
    </row>
    <row r="1890" spans="1:26" ht="15.6" x14ac:dyDescent="0.3">
      <c r="A1890" s="18" t="s">
        <v>5</v>
      </c>
      <c r="B1890" s="24" t="s">
        <v>1888</v>
      </c>
      <c r="C1890" s="2" t="str">
        <f ca="1">IFERROR(__xludf.DUMMYFUNCTION("GOOGLETRANSLATE(B1890, ""bn"", ""en"")"),"In April 2017, children and the elderly were killed in an attack during a religious prayer; The dead body is thrown into the river; A total of 32 people were killed.")</f>
        <v>In April 2017, children and the elderly were killed in an attack during a religious prayer; The dead body is thrown into the river; A total of 32 people were killed.</v>
      </c>
      <c r="D1890" s="5"/>
      <c r="E1890" s="5"/>
      <c r="F1890" s="5"/>
      <c r="G1890" s="5"/>
      <c r="H1890" s="5"/>
      <c r="I1890" s="5"/>
      <c r="J1890" s="5"/>
      <c r="K1890" s="5"/>
      <c r="L1890" s="5"/>
      <c r="M1890" s="5"/>
      <c r="N1890" s="5"/>
      <c r="O1890" s="5"/>
      <c r="P1890" s="5"/>
      <c r="Q1890" s="5"/>
      <c r="R1890" s="5"/>
      <c r="S1890" s="5"/>
      <c r="T1890" s="5"/>
      <c r="U1890" s="5"/>
      <c r="V1890" s="5"/>
      <c r="W1890" s="5"/>
      <c r="X1890" s="5"/>
      <c r="Y1890" s="5"/>
      <c r="Z1890" s="5"/>
    </row>
    <row r="1891" spans="1:26" ht="15.6" x14ac:dyDescent="0.3">
      <c r="A1891" s="18" t="s">
        <v>5</v>
      </c>
      <c r="B1891" s="25" t="s">
        <v>1889</v>
      </c>
      <c r="C1891" s="2" t="str">
        <f ca="1">IFERROR(__xludf.DUMMYFUNCTION("GOOGLETRANSLATE(B1891, ""bn"", ""en"")"),"The government has launched a crackdown against Muslim insurgents in Jhenaidah, where many people have been killed.")</f>
        <v>The government has launched a crackdown against Muslim insurgents in Jhenaidah, where many people have been killed.</v>
      </c>
      <c r="D1891" s="5"/>
      <c r="E1891" s="5"/>
      <c r="F1891" s="5"/>
      <c r="G1891" s="5"/>
      <c r="H1891" s="5"/>
      <c r="I1891" s="5"/>
      <c r="J1891" s="5"/>
      <c r="K1891" s="5"/>
      <c r="L1891" s="5"/>
      <c r="M1891" s="5"/>
      <c r="N1891" s="5"/>
      <c r="O1891" s="5"/>
      <c r="P1891" s="5"/>
      <c r="Q1891" s="5"/>
      <c r="R1891" s="5"/>
      <c r="S1891" s="5"/>
      <c r="T1891" s="5"/>
      <c r="U1891" s="5"/>
      <c r="V1891" s="5"/>
      <c r="W1891" s="5"/>
      <c r="X1891" s="5"/>
      <c r="Y1891" s="5"/>
      <c r="Z1891" s="5"/>
    </row>
    <row r="1892" spans="1:26" ht="15.6" x14ac:dyDescent="0.3">
      <c r="A1892" s="18" t="s">
        <v>23</v>
      </c>
      <c r="B1892" s="25" t="s">
        <v>1890</v>
      </c>
      <c r="C1892" s="2" t="str">
        <f ca="1">IFERROR(__xludf.DUMMYFUNCTION("GOOGLETRANSLATE(B1892, ""bn"", ""en"")"),"The Muslim community is being urged to erase Mollabari from the world map.")</f>
        <v>The Muslim community is being urged to erase Mollabari from the world map.</v>
      </c>
      <c r="D1892" s="2"/>
      <c r="E1892" s="2"/>
      <c r="F1892" s="2"/>
      <c r="G1892" s="2"/>
      <c r="H1892" s="5"/>
      <c r="I1892" s="5"/>
      <c r="J1892" s="5"/>
      <c r="K1892" s="5"/>
      <c r="L1892" s="5"/>
      <c r="M1892" s="5"/>
      <c r="N1892" s="5"/>
      <c r="O1892" s="5"/>
      <c r="P1892" s="5"/>
      <c r="Q1892" s="5"/>
      <c r="R1892" s="5"/>
      <c r="S1892" s="5"/>
      <c r="T1892" s="5"/>
      <c r="U1892" s="5"/>
      <c r="V1892" s="5"/>
      <c r="W1892" s="5"/>
      <c r="X1892" s="5"/>
      <c r="Y1892" s="5"/>
      <c r="Z1892" s="5"/>
    </row>
    <row r="1893" spans="1:26" ht="15.6" x14ac:dyDescent="0.3">
      <c r="A1893" s="19" t="s">
        <v>23</v>
      </c>
      <c r="B1893" s="26" t="s">
        <v>1891</v>
      </c>
      <c r="C1893" s="2" t="str">
        <f ca="1">IFERROR(__xludf.DUMMYFUNCTION("GOOGLETRANSLATE(B1893, ""bn"", ""en"")"),"All parties are destroying social order by quoting Quran and Hadith in the name of religion. Creating chaotic situation in the society. It is destroying the sense of Muslim brotherhood. It is creating a kind of division in the Muslim society from neighbor"&amp;"hood to neighborhood to neighborhood to neighborhood to area to area.")</f>
        <v>All parties are destroying social order by quoting Quran and Hadith in the name of religion. Creating chaotic situation in the society. It is destroying the sense of Muslim brotherhood. It is creating a kind of division in the Muslim society from neighborhood to neighborhood to neighborhood to neighborhood to area to area.</v>
      </c>
      <c r="D1893" s="7"/>
      <c r="E1893" s="7"/>
      <c r="F1893" s="7"/>
      <c r="G1893" s="7"/>
      <c r="H1893" s="7"/>
      <c r="I1893" s="5"/>
      <c r="J1893" s="5"/>
      <c r="K1893" s="5"/>
      <c r="L1893" s="5"/>
      <c r="M1893" s="5"/>
      <c r="N1893" s="5"/>
      <c r="O1893" s="5"/>
      <c r="P1893" s="5"/>
      <c r="Q1893" s="5"/>
      <c r="R1893" s="5"/>
      <c r="S1893" s="5"/>
      <c r="T1893" s="5"/>
      <c r="U1893" s="5"/>
      <c r="V1893" s="5"/>
      <c r="W1893" s="5"/>
      <c r="X1893" s="5"/>
      <c r="Y1893" s="5"/>
      <c r="Z1893" s="5"/>
    </row>
    <row r="1894" spans="1:26" ht="15.6" x14ac:dyDescent="0.3">
      <c r="A1894" s="18" t="s">
        <v>8</v>
      </c>
      <c r="B1894" s="25" t="s">
        <v>1892</v>
      </c>
      <c r="C1894" s="2" t="str">
        <f ca="1">IFERROR(__xludf.DUMMYFUNCTION("GOOGLETRANSLATE(B1894, ""bn"", ""en"")"),"According to noted historian Rakesh Batbal, this plight never became normal for the Hindus.[67] The riots were sporadic and the police force could not provide even the slightest resistance.")</f>
        <v>According to noted historian Rakesh Batbal, this plight never became normal for the Hindus.[67] The riots were sporadic and the police force could not provide even the slightest resistance.</v>
      </c>
      <c r="D1894" s="5"/>
      <c r="E1894" s="5"/>
      <c r="F1894" s="5"/>
      <c r="G1894" s="5"/>
      <c r="H1894" s="5"/>
      <c r="I1894" s="5"/>
      <c r="J1894" s="5"/>
      <c r="K1894" s="5"/>
      <c r="L1894" s="5"/>
      <c r="M1894" s="5"/>
      <c r="N1894" s="5"/>
      <c r="O1894" s="5"/>
      <c r="P1894" s="5"/>
      <c r="Q1894" s="5"/>
      <c r="R1894" s="5"/>
      <c r="S1894" s="5"/>
      <c r="T1894" s="5"/>
      <c r="U1894" s="5"/>
      <c r="V1894" s="5"/>
      <c r="W1894" s="5"/>
      <c r="X1894" s="5"/>
      <c r="Y1894" s="5"/>
      <c r="Z1894" s="5"/>
    </row>
    <row r="1895" spans="1:26" ht="15.6" x14ac:dyDescent="0.3">
      <c r="A1895" s="19" t="s">
        <v>3</v>
      </c>
      <c r="B1895" s="26" t="s">
        <v>1893</v>
      </c>
      <c r="C1895" s="2" t="str">
        <f ca="1">IFERROR(__xludf.DUMMYFUNCTION("GOOGLETRANSLATE(B1895, ""bn"", ""en"")"),"If you want to know religion, learn it at home, because religion is a personal matter.")</f>
        <v>If you want to know religion, learn it at home, because religion is a personal matter.</v>
      </c>
      <c r="D1895" s="5"/>
      <c r="E1895" s="5"/>
      <c r="F1895" s="5"/>
      <c r="G1895" s="5"/>
      <c r="H1895" s="5"/>
      <c r="I1895" s="5"/>
      <c r="J1895" s="5"/>
      <c r="K1895" s="5"/>
      <c r="L1895" s="5"/>
      <c r="M1895" s="5"/>
      <c r="N1895" s="5"/>
      <c r="O1895" s="5"/>
      <c r="P1895" s="5"/>
      <c r="Q1895" s="5"/>
      <c r="R1895" s="5"/>
      <c r="S1895" s="5"/>
      <c r="T1895" s="5"/>
      <c r="U1895" s="5"/>
      <c r="V1895" s="5"/>
      <c r="W1895" s="5"/>
      <c r="X1895" s="5"/>
      <c r="Y1895" s="5"/>
      <c r="Z1895" s="5"/>
    </row>
    <row r="1896" spans="1:26" ht="15.6" x14ac:dyDescent="0.3">
      <c r="A1896" s="18" t="s">
        <v>23</v>
      </c>
      <c r="B1896" s="24" t="s">
        <v>1894</v>
      </c>
      <c r="C1896" s="2" t="str">
        <f ca="1">IFERROR(__xludf.DUMMYFUNCTION("GOOGLETRANSLATE(B1896, ""bn"", ""en"")"),"Buddhist religious people sometimes create conflict in society by making negative comments about people of other religions.")</f>
        <v>Buddhist religious people sometimes create conflict in society by making negative comments about people of other religions.</v>
      </c>
      <c r="D1896" s="5"/>
      <c r="E1896" s="5"/>
      <c r="F1896" s="5"/>
      <c r="G1896" s="5"/>
      <c r="H1896" s="5"/>
      <c r="I1896" s="5"/>
      <c r="J1896" s="5"/>
      <c r="K1896" s="5"/>
      <c r="L1896" s="5"/>
      <c r="M1896" s="5"/>
      <c r="N1896" s="5"/>
      <c r="O1896" s="5"/>
      <c r="P1896" s="5"/>
      <c r="Q1896" s="5"/>
      <c r="R1896" s="5"/>
      <c r="S1896" s="5"/>
      <c r="T1896" s="5"/>
      <c r="U1896" s="5"/>
      <c r="V1896" s="5"/>
      <c r="W1896" s="5"/>
      <c r="X1896" s="5"/>
      <c r="Y1896" s="5"/>
      <c r="Z1896" s="5"/>
    </row>
    <row r="1897" spans="1:26" ht="15.6" x14ac:dyDescent="0.3">
      <c r="A1897" s="18" t="s">
        <v>23</v>
      </c>
      <c r="B1897" s="25" t="s">
        <v>1895</v>
      </c>
      <c r="C1897" s="2" t="str">
        <f ca="1">IFERROR(__xludf.DUMMYFUNCTION("GOOGLETRANSLATE(B1897, ""bn"", ""en"")"),"Insulting Islam in the name of expression is not desirable, I condemn it, (((Allahu Akbar)))")</f>
        <v>Insulting Islam in the name of expression is not desirable, I condemn it, (((Allahu Akbar)))</v>
      </c>
      <c r="D1897" s="2"/>
      <c r="E1897" s="2"/>
      <c r="F1897" s="2"/>
      <c r="G1897" s="2"/>
      <c r="H1897" s="3"/>
      <c r="I1897" s="3"/>
      <c r="J1897" s="3"/>
      <c r="K1897" s="3"/>
      <c r="L1897" s="3"/>
      <c r="M1897" s="3"/>
      <c r="N1897" s="3"/>
      <c r="O1897" s="3"/>
      <c r="P1897" s="3"/>
      <c r="Q1897" s="3"/>
      <c r="R1897" s="3"/>
      <c r="S1897" s="3"/>
      <c r="T1897" s="3"/>
      <c r="U1897" s="3"/>
      <c r="V1897" s="3"/>
      <c r="W1897" s="3"/>
      <c r="X1897" s="3"/>
      <c r="Y1897" s="3"/>
      <c r="Z1897" s="3"/>
    </row>
    <row r="1898" spans="1:26" ht="15.6" x14ac:dyDescent="0.3">
      <c r="A1898" s="18" t="s">
        <v>3</v>
      </c>
      <c r="B1898" s="25" t="s">
        <v>1896</v>
      </c>
      <c r="C1898" s="2" t="str">
        <f ca="1">IFERROR(__xludf.DUMMYFUNCTION("GOOGLETRANSLATE(B1898, ""bn"", ""en"")"),"But our religion of Islam teaches that we perform our worship discreetly, only for Allah, and should not reveal it.")</f>
        <v>But our religion of Islam teaches that we perform our worship discreetly, only for Allah, and should not reveal it.</v>
      </c>
      <c r="D1898" s="5"/>
      <c r="E1898" s="5"/>
      <c r="F1898" s="5"/>
      <c r="G1898" s="5"/>
      <c r="H1898" s="5"/>
      <c r="I1898" s="5"/>
      <c r="J1898" s="5"/>
      <c r="K1898" s="5"/>
      <c r="L1898" s="5"/>
      <c r="M1898" s="5"/>
      <c r="N1898" s="5"/>
      <c r="O1898" s="5"/>
      <c r="P1898" s="5"/>
      <c r="Q1898" s="5"/>
      <c r="R1898" s="5"/>
      <c r="S1898" s="5"/>
      <c r="T1898" s="5"/>
      <c r="U1898" s="5"/>
      <c r="V1898" s="5"/>
      <c r="W1898" s="5"/>
      <c r="X1898" s="5"/>
      <c r="Y1898" s="5"/>
      <c r="Z1898" s="5"/>
    </row>
    <row r="1899" spans="1:26" ht="15.6" x14ac:dyDescent="0.3">
      <c r="A1899" s="19" t="s">
        <v>23</v>
      </c>
      <c r="B1899" s="26" t="s">
        <v>1897</v>
      </c>
      <c r="C1899" s="2" t="str">
        <f ca="1">IFERROR(__xludf.DUMMYFUNCTION("GOOGLETRANSLATE(B1899, ""bn"", ""en"")"),"Nothing too emotional is good, Islam does not like fanaticism at all. No one can be harmed regardless of the religion they follow.")</f>
        <v>Nothing too emotional is good, Islam does not like fanaticism at all. No one can be harmed regardless of the religion they follow.</v>
      </c>
      <c r="D1899" s="5"/>
      <c r="E1899" s="5"/>
      <c r="F1899" s="5"/>
      <c r="G1899" s="5"/>
      <c r="H1899" s="5"/>
      <c r="I1899" s="5"/>
      <c r="J1899" s="5"/>
      <c r="K1899" s="5"/>
      <c r="L1899" s="5"/>
      <c r="M1899" s="5"/>
      <c r="N1899" s="5"/>
      <c r="O1899" s="5"/>
      <c r="P1899" s="5"/>
      <c r="Q1899" s="5"/>
      <c r="R1899" s="5"/>
      <c r="S1899" s="5"/>
      <c r="T1899" s="5"/>
      <c r="U1899" s="5"/>
      <c r="V1899" s="5"/>
      <c r="W1899" s="5"/>
      <c r="X1899" s="5"/>
      <c r="Y1899" s="5"/>
      <c r="Z1899" s="5"/>
    </row>
    <row r="1900" spans="1:26" ht="15.6" x14ac:dyDescent="0.3">
      <c r="A1900" s="18" t="s">
        <v>5</v>
      </c>
      <c r="B1900" s="25" t="s">
        <v>1898</v>
      </c>
      <c r="C1900" s="2" t="str">
        <f ca="1">IFERROR(__xludf.DUMMYFUNCTION("GOOGLETRANSLATE(B1900, ""bn"", ""en"")"),"People are being killed in Bangladesh under the guise of religious extremism, but the Holy Quran clearly states that death is inevitable and no one can stop it.")</f>
        <v>People are being killed in Bangladesh under the guise of religious extremism, but the Holy Quran clearly states that death is inevitable and no one can stop it.</v>
      </c>
      <c r="D1900" s="5"/>
      <c r="E1900" s="5"/>
      <c r="F1900" s="5"/>
      <c r="G1900" s="5"/>
      <c r="H1900" s="5"/>
      <c r="I1900" s="5"/>
      <c r="J1900" s="5"/>
      <c r="K1900" s="5"/>
      <c r="L1900" s="5"/>
      <c r="M1900" s="5"/>
      <c r="N1900" s="5"/>
      <c r="O1900" s="5"/>
      <c r="P1900" s="5"/>
      <c r="Q1900" s="5"/>
      <c r="R1900" s="5"/>
      <c r="S1900" s="5"/>
      <c r="T1900" s="5"/>
      <c r="U1900" s="5"/>
      <c r="V1900" s="5"/>
      <c r="W1900" s="5"/>
      <c r="X1900" s="5"/>
      <c r="Y1900" s="5"/>
      <c r="Z1900" s="5"/>
    </row>
    <row r="1901" spans="1:26" ht="15.6" x14ac:dyDescent="0.3">
      <c r="A1901" s="18" t="s">
        <v>5</v>
      </c>
      <c r="B1901" s="24" t="s">
        <v>1899</v>
      </c>
      <c r="C1901" s="2" t="str">
        <f ca="1">IFERROR(__xludf.DUMMYFUNCTION("GOOGLETRANSLATE(B1901, ""bn"", ""en"")"),"39 people were killed during the clashes in Magura. Police tried to maintain peace but violence escalated. Many minority families take shelter.")</f>
        <v>39 people were killed during the clashes in Magura. Police tried to maintain peace but violence escalated. Many minority families take shelter.</v>
      </c>
      <c r="D1901" s="5"/>
      <c r="E1901" s="5"/>
      <c r="F1901" s="5"/>
      <c r="G1901" s="5"/>
      <c r="H1901" s="5"/>
      <c r="I1901" s="5"/>
      <c r="J1901" s="5"/>
      <c r="K1901" s="5"/>
      <c r="L1901" s="5"/>
      <c r="M1901" s="5"/>
      <c r="N1901" s="5"/>
      <c r="O1901" s="5"/>
      <c r="P1901" s="5"/>
      <c r="Q1901" s="5"/>
      <c r="R1901" s="5"/>
      <c r="S1901" s="5"/>
      <c r="T1901" s="5"/>
      <c r="U1901" s="5"/>
      <c r="V1901" s="5"/>
      <c r="W1901" s="5"/>
      <c r="X1901" s="5"/>
      <c r="Y1901" s="5"/>
      <c r="Z1901" s="5"/>
    </row>
    <row r="1902" spans="1:26" ht="15.6" x14ac:dyDescent="0.3">
      <c r="A1902" s="18" t="s">
        <v>5</v>
      </c>
      <c r="B1902" s="24" t="s">
        <v>1900</v>
      </c>
      <c r="C1902" s="2" t="str">
        <f ca="1">IFERROR(__xludf.DUMMYFUNCTION("GOOGLETRANSLATE(B1902, ""bn"", ""en"")"),"In Pirojpur, a teacher was killed because of religious sects; 15 people lost their lives in the protest.")</f>
        <v>In Pirojpur, a teacher was killed because of religious sects; 15 people lost their lives in the protest.</v>
      </c>
      <c r="D1902" s="5"/>
      <c r="E1902" s="5"/>
      <c r="F1902" s="5"/>
      <c r="G1902" s="5"/>
      <c r="H1902" s="5"/>
      <c r="I1902" s="5"/>
      <c r="J1902" s="5"/>
      <c r="K1902" s="5"/>
      <c r="L1902" s="5"/>
      <c r="M1902" s="5"/>
      <c r="N1902" s="5"/>
      <c r="O1902" s="5"/>
      <c r="P1902" s="5"/>
      <c r="Q1902" s="5"/>
      <c r="R1902" s="5"/>
      <c r="S1902" s="5"/>
      <c r="T1902" s="5"/>
      <c r="U1902" s="5"/>
      <c r="V1902" s="5"/>
      <c r="W1902" s="5"/>
      <c r="X1902" s="5"/>
      <c r="Y1902" s="5"/>
      <c r="Z1902" s="5"/>
    </row>
    <row r="1903" spans="1:26" ht="15.6" x14ac:dyDescent="0.3">
      <c r="A1903" s="18" t="s">
        <v>8</v>
      </c>
      <c r="B1903" s="24" t="s">
        <v>1901</v>
      </c>
      <c r="C1903" s="2" t="str">
        <f ca="1">IFERROR(__xludf.DUMMYFUNCTION("GOOGLETRANSLATE(B1903, ""bn"", ""en"")"),"In Cox's Bazar, entering a temple, the idol of Lakshmi was divided into two parts and left next to the well.")</f>
        <v>In Cox's Bazar, entering a temple, the idol of Lakshmi was divided into two parts and left next to the well.</v>
      </c>
      <c r="D1903" s="5"/>
      <c r="E1903" s="5"/>
      <c r="F1903" s="5"/>
      <c r="G1903" s="5"/>
      <c r="H1903" s="5"/>
      <c r="I1903" s="5"/>
      <c r="J1903" s="5"/>
      <c r="K1903" s="5"/>
      <c r="L1903" s="5"/>
      <c r="M1903" s="5"/>
      <c r="N1903" s="5"/>
      <c r="O1903" s="5"/>
      <c r="P1903" s="5"/>
      <c r="Q1903" s="5"/>
      <c r="R1903" s="5"/>
      <c r="S1903" s="5"/>
      <c r="T1903" s="5"/>
      <c r="U1903" s="5"/>
      <c r="V1903" s="5"/>
      <c r="W1903" s="5"/>
      <c r="X1903" s="5"/>
      <c r="Y1903" s="5"/>
      <c r="Z1903" s="5"/>
    </row>
    <row r="1904" spans="1:26" ht="15.6" x14ac:dyDescent="0.3">
      <c r="A1904" s="18" t="s">
        <v>5</v>
      </c>
      <c r="B1904" s="25" t="s">
        <v>1902</v>
      </c>
      <c r="C1904" s="2" t="str">
        <f ca="1">IFERROR(__xludf.DUMMYFUNCTION("GOOGLETRANSLATE(B1904, ""bn"", ""en"")"),"Pilgrims were shot dead entering every compartment of the train. The platform and nearby Hindu houses were set on fire and the horror of religious fanaticism spread all around.")</f>
        <v>Pilgrims were shot dead entering every compartment of the train. The platform and nearby Hindu houses were set on fire and the horror of religious fanaticism spread all around.</v>
      </c>
      <c r="D1904" s="5"/>
      <c r="E1904" s="5"/>
      <c r="F1904" s="5"/>
      <c r="G1904" s="5"/>
      <c r="H1904" s="5"/>
      <c r="I1904" s="5"/>
      <c r="J1904" s="5"/>
      <c r="K1904" s="5"/>
      <c r="L1904" s="5"/>
      <c r="M1904" s="5"/>
      <c r="N1904" s="5"/>
      <c r="O1904" s="5"/>
      <c r="P1904" s="5"/>
      <c r="Q1904" s="5"/>
      <c r="R1904" s="5"/>
      <c r="S1904" s="5"/>
      <c r="T1904" s="5"/>
      <c r="U1904" s="5"/>
      <c r="V1904" s="5"/>
      <c r="W1904" s="5"/>
      <c r="X1904" s="5"/>
      <c r="Y1904" s="5"/>
      <c r="Z1904" s="5"/>
    </row>
    <row r="1905" spans="1:26" ht="15.6" x14ac:dyDescent="0.3">
      <c r="A1905" s="19" t="s">
        <v>3</v>
      </c>
      <c r="B1905" s="26" t="s">
        <v>1903</v>
      </c>
      <c r="C1905" s="2" t="str">
        <f ca="1">IFERROR(__xludf.DUMMYFUNCTION("GOOGLETRANSLATE(B1905, ""bn"", ""en"")"),"The BJP has sneered at the incident, while the Congress is uncomfortable with the comments of the partner party.")</f>
        <v>The BJP has sneered at the incident, while the Congress is uncomfortable with the comments of the partner party.</v>
      </c>
      <c r="D1905" s="7"/>
      <c r="E1905" s="5"/>
      <c r="F1905" s="5"/>
      <c r="G1905" s="5"/>
      <c r="H1905" s="5"/>
      <c r="I1905" s="5"/>
      <c r="J1905" s="5"/>
      <c r="K1905" s="5"/>
      <c r="L1905" s="5"/>
      <c r="M1905" s="5"/>
      <c r="N1905" s="5"/>
      <c r="O1905" s="5"/>
      <c r="P1905" s="5"/>
      <c r="Q1905" s="5"/>
      <c r="R1905" s="5"/>
      <c r="S1905" s="5"/>
      <c r="T1905" s="5"/>
      <c r="U1905" s="5"/>
      <c r="V1905" s="5"/>
      <c r="W1905" s="5"/>
      <c r="X1905" s="5"/>
      <c r="Y1905" s="5"/>
      <c r="Z1905" s="5"/>
    </row>
    <row r="1906" spans="1:26" ht="15.6" x14ac:dyDescent="0.3">
      <c r="A1906" s="19" t="s">
        <v>8</v>
      </c>
      <c r="B1906" s="26" t="s">
        <v>1904</v>
      </c>
      <c r="C1906" s="2" t="str">
        <f ca="1">IFERROR(__xludf.DUMMYFUNCTION("GOOGLETRANSLATE(B1906, ""bn"", ""en"")"),"In old Dhaka, Muslims tried to set fire to Hindu temples and snatched journalists' cameras, despite police restrictions. The administration promulgated the Sandhya Act.")</f>
        <v>In old Dhaka, Muslims tried to set fire to Hindu temples and snatched journalists' cameras, despite police restrictions. The administration promulgated the Sandhya Act.</v>
      </c>
      <c r="D1906" s="7"/>
      <c r="E1906" s="7"/>
      <c r="F1906" s="7"/>
      <c r="G1906" s="7"/>
      <c r="H1906" s="7"/>
      <c r="I1906" s="7"/>
      <c r="J1906" s="7"/>
      <c r="K1906" s="7"/>
      <c r="L1906" s="5"/>
      <c r="M1906" s="5"/>
      <c r="N1906" s="5"/>
      <c r="O1906" s="5"/>
      <c r="P1906" s="5"/>
      <c r="Q1906" s="5"/>
      <c r="R1906" s="5"/>
      <c r="S1906" s="5"/>
      <c r="T1906" s="5"/>
      <c r="U1906" s="5"/>
      <c r="V1906" s="5"/>
      <c r="W1906" s="5"/>
      <c r="X1906" s="5"/>
      <c r="Y1906" s="5"/>
      <c r="Z1906" s="5"/>
    </row>
    <row r="1907" spans="1:26" ht="15.6" x14ac:dyDescent="0.3">
      <c r="A1907" s="19" t="s">
        <v>8</v>
      </c>
      <c r="B1907" s="26" t="s">
        <v>1905</v>
      </c>
      <c r="C1907" s="2" t="str">
        <f ca="1">IFERROR(__xludf.DUMMYFUNCTION("GOOGLETRANSLATE(B1907, ""bn"", ""en"")"),"In 2016, protests against the construction of a mosque by the Muslim community in an area of ​​Bangladesh resulted in protesters throwing stones at the mosque's windows and injuring some worshippers.")</f>
        <v>In 2016, protests against the construction of a mosque by the Muslim community in an area of ​​Bangladesh resulted in protesters throwing stones at the mosque's windows and injuring some worshippers.</v>
      </c>
      <c r="D1907" s="7"/>
      <c r="E1907" s="7"/>
      <c r="F1907" s="7"/>
      <c r="G1907" s="7"/>
      <c r="H1907" s="7"/>
      <c r="I1907" s="7"/>
      <c r="J1907" s="7"/>
      <c r="K1907" s="7"/>
      <c r="L1907" s="7"/>
      <c r="M1907" s="7"/>
      <c r="N1907" s="7"/>
      <c r="O1907" s="5"/>
      <c r="P1907" s="5"/>
      <c r="Q1907" s="5"/>
      <c r="R1907" s="5"/>
      <c r="S1907" s="5"/>
      <c r="T1907" s="5"/>
      <c r="U1907" s="5"/>
      <c r="V1907" s="5"/>
      <c r="W1907" s="5"/>
      <c r="X1907" s="5"/>
      <c r="Y1907" s="5"/>
      <c r="Z1907" s="5"/>
    </row>
    <row r="1908" spans="1:26" ht="15.6" x14ac:dyDescent="0.3">
      <c r="A1908" s="18" t="s">
        <v>23</v>
      </c>
      <c r="B1908" s="25" t="s">
        <v>1906</v>
      </c>
      <c r="C1908" s="2" t="str">
        <f ca="1">IFERROR(__xludf.DUMMYFUNCTION("GOOGLETRANSLATE(B1908, ""bn"", ""en"")"),"There are some bastard Muslims, in the greed of getting a position, they will write about some topics of Muslims. As a result, they will get some dirt.")</f>
        <v>There are some bastard Muslims, in the greed of getting a position, they will write about some topics of Muslims. As a result, they will get some dirt.</v>
      </c>
      <c r="D1908" s="7"/>
      <c r="E1908" s="7"/>
      <c r="F1908" s="7"/>
      <c r="G1908" s="7"/>
      <c r="H1908" s="7"/>
      <c r="I1908" s="7"/>
      <c r="J1908" s="7"/>
      <c r="K1908" s="7"/>
      <c r="L1908" s="7"/>
      <c r="M1908" s="7"/>
      <c r="N1908" s="7"/>
      <c r="O1908" s="7"/>
      <c r="P1908" s="7"/>
      <c r="Q1908" s="5"/>
      <c r="R1908" s="5"/>
      <c r="S1908" s="5"/>
      <c r="T1908" s="5"/>
      <c r="U1908" s="5"/>
      <c r="V1908" s="5"/>
      <c r="W1908" s="5"/>
      <c r="X1908" s="5"/>
      <c r="Y1908" s="5"/>
      <c r="Z1908" s="5"/>
    </row>
    <row r="1909" spans="1:26" ht="15.6" x14ac:dyDescent="0.3">
      <c r="A1909" s="19" t="s">
        <v>5</v>
      </c>
      <c r="B1909" s="26" t="s">
        <v>1907</v>
      </c>
      <c r="C1909" s="2" t="str">
        <f ca="1">IFERROR(__xludf.DUMMYFUNCTION("GOOGLETRANSLATE(B1909, ""bn"", ""en"")"),"After the riots in Noakhali stopped, the Muslim League claimed that only 500 Hindus had died in the conflict, but survivors believe that more than 50,000 Hindus were killed.")</f>
        <v>After the riots in Noakhali stopped, the Muslim League claimed that only 500 Hindus had died in the conflict, but survivors believe that more than 50,000 Hindus were killed.</v>
      </c>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r="1910" spans="1:26" ht="15.6" x14ac:dyDescent="0.3">
      <c r="A1910" s="18" t="s">
        <v>3</v>
      </c>
      <c r="B1910" s="25" t="s">
        <v>1908</v>
      </c>
      <c r="C1910" s="2" t="str">
        <f ca="1">IFERROR(__xludf.DUMMYFUNCTION("GOOGLETRANSLATE(B1910, ""bn"", ""en"")"),"I am proud that I was born in a Buddhist family. If I am born among humans in the next life, I will be born again in a Buddhist family and attain 1 of the 4 paths by having the vision of Aryamitra Buddha.")</f>
        <v>I am proud that I was born in a Buddhist family. If I am born among humans in the next life, I will be born again in a Buddhist family and attain 1 of the 4 paths by having the vision of Aryamitra Buddha.</v>
      </c>
      <c r="D1910" s="6"/>
      <c r="E1910" s="6"/>
      <c r="F1910" s="6"/>
      <c r="G1910" s="6"/>
      <c r="H1910" s="3"/>
      <c r="I1910" s="3"/>
      <c r="J1910" s="3"/>
      <c r="K1910" s="3"/>
      <c r="L1910" s="3"/>
      <c r="M1910" s="3"/>
      <c r="N1910" s="3"/>
      <c r="O1910" s="3"/>
      <c r="P1910" s="3"/>
      <c r="Q1910" s="3"/>
      <c r="R1910" s="3"/>
      <c r="S1910" s="3"/>
      <c r="T1910" s="3"/>
      <c r="U1910" s="3"/>
      <c r="V1910" s="3"/>
      <c r="W1910" s="3"/>
      <c r="X1910" s="3"/>
      <c r="Y1910" s="3"/>
      <c r="Z1910" s="3"/>
    </row>
    <row r="1911" spans="1:26" ht="15.6" x14ac:dyDescent="0.3">
      <c r="A1911" s="18" t="s">
        <v>5</v>
      </c>
      <c r="B1911" s="24" t="s">
        <v>1909</v>
      </c>
      <c r="C1911" s="2" t="str">
        <f ca="1">IFERROR(__xludf.DUMMYFUNCTION("GOOGLETRANSLATE(B1911, ""bn"", ""en"")"),"At least 32 people were killed and extensive property was damaged in the Hindu-Muslim clash in Meherpur.")</f>
        <v>At least 32 people were killed and extensive property was damaged in the Hindu-Muslim clash in Meherpur.</v>
      </c>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r="1912" spans="1:26" ht="15.6" x14ac:dyDescent="0.3">
      <c r="A1912" s="18" t="s">
        <v>23</v>
      </c>
      <c r="B1912" s="25" t="s">
        <v>1910</v>
      </c>
      <c r="C1912" s="2" t="str">
        <f ca="1">IFERROR(__xludf.DUMMYFUNCTION("GOOGLETRANSLATE(B1912, ""bn"", ""en"")"),"A person who insults the Prophet (PBUH) with insulting comments, statements or makes fun of him and satirizes any religious rules will be considered as an apostate by the highest consensus of the Ummah.")</f>
        <v>A person who insults the Prophet (PBUH) with insulting comments, statements or makes fun of him and satirizes any religious rules will be considered as an apostate by the highest consensus of the Ummah.</v>
      </c>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r="1913" spans="1:26" ht="15.6" x14ac:dyDescent="0.3">
      <c r="A1913" s="19" t="s">
        <v>3</v>
      </c>
      <c r="B1913" s="26" t="s">
        <v>1911</v>
      </c>
      <c r="C1913" s="2" t="str">
        <f ca="1">IFERROR(__xludf.DUMMYFUNCTION("GOOGLETRANSLATE(B1913, ""bn"", ""en"")"),"According to the Salami scholar Ibn Kasir, the Arab pagans thought of Allah as an invisible God and the creator of the universe.")</f>
        <v>According to the Salami scholar Ibn Kasir, the Arab pagans thought of Allah as an invisible God and the creator of the universe.</v>
      </c>
      <c r="D1913" s="7"/>
      <c r="E1913" s="7"/>
      <c r="F1913" s="7"/>
      <c r="G1913" s="7"/>
      <c r="H1913" s="5"/>
      <c r="I1913" s="5"/>
      <c r="J1913" s="5"/>
      <c r="K1913" s="5"/>
      <c r="L1913" s="5"/>
      <c r="M1913" s="5"/>
      <c r="N1913" s="5"/>
      <c r="O1913" s="5"/>
      <c r="P1913" s="5"/>
      <c r="Q1913" s="5"/>
      <c r="R1913" s="5"/>
      <c r="S1913" s="5"/>
      <c r="T1913" s="5"/>
      <c r="U1913" s="5"/>
      <c r="V1913" s="5"/>
      <c r="W1913" s="5"/>
      <c r="X1913" s="5"/>
      <c r="Y1913" s="5"/>
      <c r="Z1913" s="5"/>
    </row>
    <row r="1914" spans="1:26" ht="15.6" x14ac:dyDescent="0.3">
      <c r="A1914" s="18" t="s">
        <v>23</v>
      </c>
      <c r="B1914" s="24" t="s">
        <v>1912</v>
      </c>
      <c r="C1914" s="2" t="str">
        <f ca="1">IFERROR(__xludf.DUMMYFUNCTION("GOOGLETRANSLATE(B1914, ""bn"", ""en"")"),"Hindus worship so many idols that it seems they are not human, they are still in barbaric age.")</f>
        <v>Hindus worship so many idols that it seems they are not human, they are still in barbaric age.</v>
      </c>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r="1915" spans="1:26" ht="15.6" x14ac:dyDescent="0.3">
      <c r="A1915" s="18" t="s">
        <v>23</v>
      </c>
      <c r="B1915" s="24" t="s">
        <v>1913</v>
      </c>
      <c r="C1915" s="2" t="str">
        <f ca="1">IFERROR(__xludf.DUMMYFUNCTION("GOOGLETRANSLATE(B1915, ""bn"", ""en"")"),"Extremists in the Muslim community are spreading religious extremism and fueling hatred and violence against other religions, threatening the peace of the country.")</f>
        <v>Extremists in the Muslim community are spreading religious extremism and fueling hatred and violence against other religions, threatening the peace of the country.</v>
      </c>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r="1916" spans="1:26" ht="15.6" x14ac:dyDescent="0.3">
      <c r="A1916" s="19" t="s">
        <v>3</v>
      </c>
      <c r="B1916" s="26" t="s">
        <v>1914</v>
      </c>
      <c r="C1916" s="2" t="str">
        <f ca="1">IFERROR(__xludf.DUMMYFUNCTION("GOOGLETRANSLATE(B1916, ""bn"", ""en"")"),"May severe personal punishment be given to him, God will certainly punish him inshallah")</f>
        <v>May severe personal punishment be given to him, God will certainly punish him inshallah</v>
      </c>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r="1917" spans="1:26" ht="15.6" x14ac:dyDescent="0.3">
      <c r="A1917" s="18" t="s">
        <v>8</v>
      </c>
      <c r="B1917" s="25" t="s">
        <v>1915</v>
      </c>
      <c r="C1917" s="2" t="str">
        <f ca="1">IFERROR(__xludf.DUMMYFUNCTION("GOOGLETRANSLATE(B1917, ""bn"", ""en"")"),"The six arms of the Durga idol in the temple, the head and nose of a demon, the teeth of a lion, two arms of Lakshmi, two arms of Saraswati, the head of Kartika, four arms of Ganesha were broken. Apart from this, the hair of Asura and Lakshmi's head was t"&amp;"aken off and thrown down in a disorderly manner.")</f>
        <v>The six arms of the Durga idol in the temple, the head and nose of a demon, the teeth of a lion, two arms of Lakshmi, two arms of Saraswati, the head of Kartika, four arms of Ganesha were broken. Apart from this, the hair of Asura and Lakshmi's head was taken off and thrown down in a disorderly manner.</v>
      </c>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r="1918" spans="1:26" ht="15.6" x14ac:dyDescent="0.3">
      <c r="A1918" s="18" t="s">
        <v>23</v>
      </c>
      <c r="B1918" s="25" t="s">
        <v>1916</v>
      </c>
      <c r="C1918" s="2" t="str">
        <f ca="1">IFERROR(__xludf.DUMMYFUNCTION("GOOGLETRANSLATE(B1918, ""bn"", ""en"")"),"Hindus and Muslims will spread the poison of hatred, the more they move away from each other, the more they will fall to the edge of the abyss.")</f>
        <v>Hindus and Muslims will spread the poison of hatred, the more they move away from each other, the more they will fall to the edge of the abyss.</v>
      </c>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r="1919" spans="1:26" ht="15.6" x14ac:dyDescent="0.3">
      <c r="A1919" s="19" t="s">
        <v>3</v>
      </c>
      <c r="B1919" s="26" t="s">
        <v>1917</v>
      </c>
      <c r="C1919" s="2" t="str">
        <f ca="1">IFERROR(__xludf.DUMMYFUNCTION("GOOGLETRANSLATE(B1919, ""bn"", ""en"")"),"Imbalance of mood, unaffected by Quranic verses and indulgence in haram acts.")</f>
        <v>Imbalance of mood, unaffected by Quranic verses and indulgence in haram acts.</v>
      </c>
      <c r="D1919" s="7"/>
      <c r="E1919" s="7"/>
      <c r="F1919" s="7"/>
      <c r="G1919" s="5"/>
      <c r="H1919" s="5"/>
      <c r="I1919" s="5"/>
      <c r="J1919" s="5"/>
      <c r="K1919" s="5"/>
      <c r="L1919" s="5"/>
      <c r="M1919" s="5"/>
      <c r="N1919" s="5"/>
      <c r="O1919" s="5"/>
      <c r="P1919" s="5"/>
      <c r="Q1919" s="5"/>
      <c r="R1919" s="5"/>
      <c r="S1919" s="5"/>
      <c r="T1919" s="5"/>
      <c r="U1919" s="5"/>
      <c r="V1919" s="5"/>
      <c r="W1919" s="5"/>
      <c r="X1919" s="5"/>
      <c r="Y1919" s="5"/>
      <c r="Z1919" s="5"/>
    </row>
    <row r="1920" spans="1:26" ht="15.6" x14ac:dyDescent="0.3">
      <c r="A1920" s="18" t="s">
        <v>3</v>
      </c>
      <c r="B1920" s="25" t="s">
        <v>1918</v>
      </c>
      <c r="C1920" s="2" t="str">
        <f ca="1">IFERROR(__xludf.DUMMYFUNCTION("GOOGLETRANSLATE(B1920, ""bn"", ""en"")"),"Gautama Buddha left the world on the auspicious Asadhi Purnima Tithi, renouncing all kingdoms, kingdoms, pleasures and riches in the hope of getting rid of all worldly sufferings.")</f>
        <v>Gautama Buddha left the world on the auspicious Asadhi Purnima Tithi, renouncing all kingdoms, kingdoms, pleasures and riches in the hope of getting rid of all worldly sufferings.</v>
      </c>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r="1921" spans="1:26" ht="15.6" x14ac:dyDescent="0.3">
      <c r="A1921" s="19" t="s">
        <v>3</v>
      </c>
      <c r="B1921" s="26" t="s">
        <v>1919</v>
      </c>
      <c r="C1921" s="2" t="str">
        <f ca="1">IFERROR(__xludf.DUMMYFUNCTION("GOOGLETRANSLATE(B1921, ""bn"", ""en"")"),"As humans, everyone has a religion, a culture; There is history and tradition. All people have a religion. Whatever religion he follows is his religion.")</f>
        <v>As humans, everyone has a religion, a culture; There is history and tradition. All people have a religion. Whatever religion he follows is his religion.</v>
      </c>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r="1922" spans="1:26" ht="15.6" x14ac:dyDescent="0.3">
      <c r="A1922" s="18" t="s">
        <v>8</v>
      </c>
      <c r="B1922" s="25" t="s">
        <v>1920</v>
      </c>
      <c r="C1922" s="2" t="str">
        <f ca="1">IFERROR(__xludf.DUMMYFUNCTION("GOOGLETRANSLATE(B1922, ""bn"", ""en"")"),"All the Hindus in the area know that the mosque has been there for about 75 years, which is a settled issue. Then in 2015 the then Member of Parliament Manoranjan Sheel Gopal made a donation to the mosque which has provenance. But some nefarious circles h"&amp;"ave fueled Hindu-Muslim riots by promoting it as construction of mosques on temple land for political gain.")</f>
        <v>All the Hindus in the area know that the mosque has been there for about 75 years, which is a settled issue. Then in 2015 the then Member of Parliament Manoranjan Sheel Gopal made a donation to the mosque which has provenance. But some nefarious circles have fueled Hindu-Muslim riots by promoting it as construction of mosques on temple land for political gain.</v>
      </c>
      <c r="D1922" s="2"/>
      <c r="E1922" s="2"/>
      <c r="F1922" s="2"/>
      <c r="G1922" s="2"/>
      <c r="H1922" s="3"/>
      <c r="I1922" s="3"/>
      <c r="J1922" s="3"/>
      <c r="K1922" s="3"/>
      <c r="L1922" s="3"/>
      <c r="M1922" s="3"/>
      <c r="N1922" s="3"/>
      <c r="O1922" s="3"/>
      <c r="P1922" s="3"/>
      <c r="Q1922" s="3"/>
      <c r="R1922" s="3"/>
      <c r="S1922" s="3"/>
      <c r="T1922" s="3"/>
      <c r="U1922" s="3"/>
      <c r="V1922" s="3"/>
      <c r="W1922" s="3"/>
      <c r="X1922" s="3"/>
      <c r="Y1922" s="3"/>
      <c r="Z1922" s="3"/>
    </row>
    <row r="1923" spans="1:26" ht="15.6" x14ac:dyDescent="0.3">
      <c r="A1923" s="19" t="s">
        <v>8</v>
      </c>
      <c r="B1923" s="26" t="s">
        <v>1921</v>
      </c>
      <c r="C1923" s="2" t="str">
        <f ca="1">IFERROR(__xludf.DUMMYFUNCTION("GOOGLETRANSLATE(B1923, ""bn"", ""en"")"),"Extremist group left unclean material in food containers of Buddhist monks in Jhalkathi.")</f>
        <v>Extremist group left unclean material in food containers of Buddhist monks in Jhalkathi.</v>
      </c>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r="1924" spans="1:26" ht="15.6" x14ac:dyDescent="0.3">
      <c r="A1924" s="19" t="s">
        <v>8</v>
      </c>
      <c r="B1924" s="26" t="s">
        <v>1922</v>
      </c>
      <c r="C1924" s="2" t="str">
        <f ca="1">IFERROR(__xludf.DUMMYFUNCTION("GOOGLETRANSLATE(B1924, ""bn"", ""en"")"),"All factories and shops owned by Hindus should be destroyed and looted and the loot should be deposited in the Muslim League office.")</f>
        <v>All factories and shops owned by Hindus should be destroyed and looted and the loot should be deposited in the Muslim League office.</v>
      </c>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r="1925" spans="1:26" ht="15.6" x14ac:dyDescent="0.3">
      <c r="A1925" s="18" t="s">
        <v>8</v>
      </c>
      <c r="B1925" s="25" t="s">
        <v>1923</v>
      </c>
      <c r="C1925" s="2" t="str">
        <f ca="1">IFERROR(__xludf.DUMMYFUNCTION("GOOGLETRANSLATE(B1925, ""bn"", ""en"")"),"Two fifty year old temples were attacked in Jandi village of Tujarpur union of Bhanga upazila of Faridpur on Sunday, June 5.")</f>
        <v>Two fifty year old temples were attacked in Jandi village of Tujarpur union of Bhanga upazila of Faridpur on Sunday, June 5.</v>
      </c>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r="1926" spans="1:26" ht="15.6" x14ac:dyDescent="0.3">
      <c r="A1926" s="18" t="s">
        <v>23</v>
      </c>
      <c r="B1926" s="25" t="s">
        <v>1924</v>
      </c>
      <c r="C1926" s="2" t="str">
        <f ca="1">IFERROR(__xludf.DUMMYFUNCTION("GOOGLETRANSLATE(B1926, ""bn"", ""en"")"),"It is not right,,,regardless of any religion,,,it is a sin to touch a person while praying to God, it is also a sin to touch his body,,,this is the situation there,,,people are losing their humanity from this world.")</f>
        <v>It is not right,,,regardless of any religion,,,it is a sin to touch a person while praying to God, it is also a sin to touch his body,,,this is the situation there,,,people are losing their humanity from this world.</v>
      </c>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r="1927" spans="1:26" ht="15.6" x14ac:dyDescent="0.3">
      <c r="A1927" s="18" t="s">
        <v>5</v>
      </c>
      <c r="B1927" s="24" t="s">
        <v>1925</v>
      </c>
      <c r="C1927" s="2" t="str">
        <f ca="1">IFERROR(__xludf.DUMMYFUNCTION("GOOGLETRANSLATE(B1927, ""bn"", ""en"")"),"An entire minority community in a town is forced to flee the country, their homes destroyed by religious extremism; At least 31 people lost their lives.")</f>
        <v>An entire minority community in a town is forced to flee the country, their homes destroyed by religious extremism; At least 31 people lost their lives.</v>
      </c>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r="1928" spans="1:26" ht="15.6" x14ac:dyDescent="0.3">
      <c r="A1928" s="18" t="s">
        <v>3</v>
      </c>
      <c r="B1928" s="25" t="s">
        <v>1926</v>
      </c>
      <c r="C1928" s="2" t="str">
        <f ca="1">IFERROR(__xludf.DUMMYFUNCTION("GOOGLETRANSLATE(B1928, ""bn"", ""en"")"),"During the Liberation War of Bangladesh, this community became larger when 10,000 Sikhs came from neighboring areas. This Sikh community has made great progress in the country.")</f>
        <v>During the Liberation War of Bangladesh, this community became larger when 10,000 Sikhs came from neighboring areas. This Sikh community has made great progress in the country.</v>
      </c>
      <c r="D1928" s="2"/>
      <c r="E1928" s="2"/>
      <c r="F1928" s="2"/>
      <c r="G1928" s="2"/>
      <c r="H1928" s="5"/>
      <c r="I1928" s="5"/>
      <c r="J1928" s="5"/>
      <c r="K1928" s="5"/>
      <c r="L1928" s="5"/>
      <c r="M1928" s="5"/>
      <c r="N1928" s="5"/>
      <c r="O1928" s="5"/>
      <c r="P1928" s="5"/>
      <c r="Q1928" s="5"/>
      <c r="R1928" s="5"/>
      <c r="S1928" s="5"/>
      <c r="T1928" s="5"/>
      <c r="U1928" s="5"/>
      <c r="V1928" s="5"/>
      <c r="W1928" s="5"/>
      <c r="X1928" s="5"/>
      <c r="Y1928" s="5"/>
      <c r="Z1928" s="5"/>
    </row>
    <row r="1929" spans="1:26" ht="15.6" x14ac:dyDescent="0.3">
      <c r="A1929" s="18" t="s">
        <v>23</v>
      </c>
      <c r="B1929" s="25" t="s">
        <v>1927</v>
      </c>
      <c r="C1929" s="2" t="str">
        <f ca="1">IFERROR(__xludf.DUMMYFUNCTION("GOOGLETRANSLATE(B1929, ""bn"", ""en"")"),"Bangladesh is a 90% Muslim country, this has been proven to be a lie from today")</f>
        <v>Bangladesh is a 90% Muslim country, this has been proven to be a lie from today</v>
      </c>
      <c r="D1929" s="2"/>
      <c r="E1929" s="2"/>
      <c r="F1929" s="2"/>
      <c r="G1929" s="2"/>
      <c r="H1929" s="3"/>
      <c r="I1929" s="3"/>
      <c r="J1929" s="3"/>
      <c r="K1929" s="3"/>
      <c r="L1929" s="3"/>
      <c r="M1929" s="3"/>
      <c r="N1929" s="3"/>
      <c r="O1929" s="3"/>
      <c r="P1929" s="3"/>
      <c r="Q1929" s="3"/>
      <c r="R1929" s="3"/>
      <c r="S1929" s="3"/>
      <c r="T1929" s="3"/>
      <c r="U1929" s="3"/>
      <c r="V1929" s="3"/>
      <c r="W1929" s="3"/>
      <c r="X1929" s="3"/>
      <c r="Y1929" s="3"/>
      <c r="Z1929" s="3"/>
    </row>
    <row r="1930" spans="1:26" ht="15.6" x14ac:dyDescent="0.3">
      <c r="A1930" s="18" t="s">
        <v>5</v>
      </c>
      <c r="B1930" s="24" t="s">
        <v>1928</v>
      </c>
      <c r="C1930" s="2" t="str">
        <f ca="1">IFERROR(__xludf.DUMMYFUNCTION("GOOGLETRANSLATE(B1930, ""bn"", ""en"")"),"38 Christians killed in attack on a church in Barisal; The property of the church was looted.")</f>
        <v>38 Christians killed in attack on a church in Barisal; The property of the church was looted.</v>
      </c>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r="1931" spans="1:26" ht="15.6" x14ac:dyDescent="0.3">
      <c r="A1931" s="18" t="s">
        <v>5</v>
      </c>
      <c r="B1931" s="24" t="s">
        <v>1929</v>
      </c>
      <c r="C1931" s="2" t="str">
        <f ca="1">IFERROR(__xludf.DUMMYFUNCTION("GOOGLETRANSLATE(B1931, ""bn"", ""en"")"),"Riots broke out between the Hindu and Muslim communities over a minor incident in Jessore. At least 38 people lost their lives and many houses and shops were burnt in the clashes. Security forces act to stop the clashes.")</f>
        <v>Riots broke out between the Hindu and Muslim communities over a minor incident in Jessore. At least 38 people lost their lives and many houses and shops were burnt in the clashes. Security forces act to stop the clashes.</v>
      </c>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r="1932" spans="1:26" ht="15.6" x14ac:dyDescent="0.3">
      <c r="A1932" s="18" t="s">
        <v>3</v>
      </c>
      <c r="B1932" s="25" t="s">
        <v>1930</v>
      </c>
      <c r="C1932" s="2" t="str">
        <f ca="1">IFERROR(__xludf.DUMMYFUNCTION("GOOGLETRANSLATE(B1932, ""bn"", ""en"")"),"Many years of prayers have been accepted, seeing you again and again in Ramadan and Miladunnabi is an immense mercy from Allah.")</f>
        <v>Many years of prayers have been accepted, seeing you again and again in Ramadan and Miladunnabi is an immense mercy from Allah.</v>
      </c>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r="1933" spans="1:26" ht="15.6" x14ac:dyDescent="0.3">
      <c r="A1933" s="19" t="s">
        <v>23</v>
      </c>
      <c r="B1933" s="26" t="s">
        <v>1931</v>
      </c>
      <c r="C1933" s="2" t="str">
        <f ca="1">IFERROR(__xludf.DUMMYFUNCTION("GOOGLETRANSLATE(B1933, ""bn"", ""en"")"),"As a devout Muslim, I strongly condemn this incident and hope for exemplary punishment of the culprits through proper investigation.")</f>
        <v>As a devout Muslim, I strongly condemn this incident and hope for exemplary punishment of the culprits through proper investigation.</v>
      </c>
      <c r="D1933" s="7"/>
      <c r="E1933" s="7"/>
      <c r="F1933" s="7"/>
      <c r="G1933" s="7"/>
      <c r="H1933" s="7"/>
      <c r="I1933" s="7"/>
      <c r="J1933" s="5"/>
      <c r="K1933" s="5"/>
      <c r="L1933" s="5"/>
      <c r="M1933" s="5"/>
      <c r="N1933" s="5"/>
      <c r="O1933" s="5"/>
      <c r="P1933" s="5"/>
      <c r="Q1933" s="5"/>
      <c r="R1933" s="5"/>
      <c r="S1933" s="5"/>
      <c r="T1933" s="5"/>
      <c r="U1933" s="5"/>
      <c r="V1933" s="5"/>
      <c r="W1933" s="5"/>
      <c r="X1933" s="5"/>
      <c r="Y1933" s="5"/>
      <c r="Z1933" s="5"/>
    </row>
    <row r="1934" spans="1:26" ht="15.6" x14ac:dyDescent="0.3">
      <c r="A1934" s="18" t="s">
        <v>23</v>
      </c>
      <c r="B1934" s="25" t="s">
        <v>1932</v>
      </c>
      <c r="C1934" s="2" t="str">
        <f ca="1">IFERROR(__xludf.DUMMYFUNCTION("GOOGLETRANSLATE(B1934, ""bn"", ""en"")"),"Those who try to mislead people by posting such misleading posts and spread rumors will be in the dustbin of history.")</f>
        <v>Those who try to mislead people by posting such misleading posts and spread rumors will be in the dustbin of history.</v>
      </c>
      <c r="D1934" s="2"/>
      <c r="E1934" s="2"/>
      <c r="F1934" s="2"/>
      <c r="G1934" s="2"/>
      <c r="H1934" s="5"/>
      <c r="I1934" s="5"/>
      <c r="J1934" s="5"/>
      <c r="K1934" s="5"/>
      <c r="L1934" s="5"/>
      <c r="M1934" s="5"/>
      <c r="N1934" s="5"/>
      <c r="O1934" s="5"/>
      <c r="P1934" s="5"/>
      <c r="Q1934" s="5"/>
      <c r="R1934" s="5"/>
      <c r="S1934" s="5"/>
      <c r="T1934" s="5"/>
      <c r="U1934" s="5"/>
      <c r="V1934" s="5"/>
      <c r="W1934" s="5"/>
      <c r="X1934" s="5"/>
      <c r="Y1934" s="5"/>
      <c r="Z1934" s="5"/>
    </row>
    <row r="1935" spans="1:26" ht="15.6" x14ac:dyDescent="0.3">
      <c r="A1935" s="18" t="s">
        <v>5</v>
      </c>
      <c r="B1935" s="24" t="s">
        <v>1933</v>
      </c>
      <c r="C1935" s="2" t="str">
        <f ca="1">IFERROR(__xludf.DUMMYFUNCTION("GOOGLETRANSLATE(B1935, ""bn"", ""en"")"),"In November 2020, a group of religious activists set fire to the houses of minorities by political party members; At least 37 people were killed.")</f>
        <v>In November 2020, a group of religious activists set fire to the houses of minorities by political party members; At least 37 people were killed.</v>
      </c>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r="1936" spans="1:26" ht="15.6" x14ac:dyDescent="0.3">
      <c r="A1936" s="18" t="s">
        <v>8</v>
      </c>
      <c r="B1936" s="25" t="s">
        <v>1934</v>
      </c>
      <c r="C1936" s="2" t="str">
        <f ca="1">IFERROR(__xludf.DUMMYFUNCTION("GOOGLETRANSLATE(B1936, ""bn"", ""en"")"),"Raj Rajeshwari Kalibari Temple was also attacked. Dilip Kumar Das was injured by a brick.")</f>
        <v>Raj Rajeshwari Kalibari Temple was also attacked. Dilip Kumar Das was injured by a brick.</v>
      </c>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r="1937" spans="1:26" ht="15.6" x14ac:dyDescent="0.3">
      <c r="A1937" s="18" t="s">
        <v>5</v>
      </c>
      <c r="B1937" s="25" t="s">
        <v>1935</v>
      </c>
      <c r="C1937" s="2" t="str">
        <f ca="1">IFERROR(__xludf.DUMMYFUNCTION("GOOGLETRANSLATE(B1937, ""bn"", ""en"")"),"32 people were arrested and brutally killed in the village in an attack on innocent Hindus fueled by religious hatred, the market was set on fire. Many ran away to save their lives.")</f>
        <v>32 people were arrested and brutally killed in the village in an attack on innocent Hindus fueled by religious hatred, the market was set on fire. Many ran away to save their lives.</v>
      </c>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r="1938" spans="1:26" ht="15.6" x14ac:dyDescent="0.3">
      <c r="A1938" s="19" t="s">
        <v>5</v>
      </c>
      <c r="B1938" s="26" t="s">
        <v>1936</v>
      </c>
      <c r="C1938" s="2" t="str">
        <f ca="1">IFERROR(__xludf.DUMMYFUNCTION("GOOGLETRANSLATE(B1938, ""bn"", ""en"")"),"He also burned down Buddhist temples along with religious scriptures and massacred numerous Buddhist monks.")</f>
        <v>He also burned down Buddhist temples along with religious scriptures and massacred numerous Buddhist monks.</v>
      </c>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r="1939" spans="1:26" ht="15.6" x14ac:dyDescent="0.3">
      <c r="A1939" s="19" t="s">
        <v>23</v>
      </c>
      <c r="B1939" s="26" t="s">
        <v>1937</v>
      </c>
      <c r="C1939" s="2" t="str">
        <f ca="1">IFERROR(__xludf.DUMMYFUNCTION("GOOGLETRANSLATE(B1939, ""bn"", ""en"")"),"No one raises a voice against the itch or hatred towards Muslims. The discussion is only about the actors and actresses. Basically, they are not anti-religious, anti-Islamic.")</f>
        <v>No one raises a voice against the itch or hatred towards Muslims. The discussion is only about the actors and actresses. Basically, they are not anti-religious, anti-Islamic.</v>
      </c>
      <c r="D1939" s="7"/>
      <c r="E1939" s="7"/>
      <c r="F1939" s="7"/>
      <c r="G1939" s="7"/>
      <c r="H1939" s="7"/>
      <c r="I1939" s="7"/>
      <c r="J1939" s="7"/>
      <c r="K1939" s="7"/>
      <c r="L1939" s="7"/>
      <c r="M1939" s="7"/>
      <c r="N1939" s="5"/>
      <c r="O1939" s="5"/>
      <c r="P1939" s="5"/>
      <c r="Q1939" s="5"/>
      <c r="R1939" s="5"/>
      <c r="S1939" s="5"/>
      <c r="T1939" s="5"/>
      <c r="U1939" s="5"/>
      <c r="V1939" s="5"/>
      <c r="W1939" s="5"/>
      <c r="X1939" s="5"/>
      <c r="Y1939" s="5"/>
      <c r="Z1939" s="5"/>
    </row>
    <row r="1940" spans="1:26" ht="15.6" x14ac:dyDescent="0.3">
      <c r="A1940" s="18" t="s">
        <v>23</v>
      </c>
      <c r="B1940" s="24" t="s">
        <v>1938</v>
      </c>
      <c r="C1940" s="2" t="str">
        <f ca="1">IFERROR(__xludf.DUMMYFUNCTION("GOOGLETRANSLATE(B1940, ""bn"", ""en"")"),"Hindus often promote religious hatred by disparaging the festivals of other religions and devaluing their worship.")</f>
        <v>Hindus often promote religious hatred by disparaging the festivals of other religions and devaluing their worship.</v>
      </c>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r="1941" spans="1:26" ht="15.6" x14ac:dyDescent="0.3">
      <c r="A1941" s="18" t="s">
        <v>23</v>
      </c>
      <c r="B1941" s="25" t="s">
        <v>1939</v>
      </c>
      <c r="C1941" s="2" t="str">
        <f ca="1">IFERROR(__xludf.DUMMYFUNCTION("GOOGLETRANSLATE(B1941, ""bn"", ""en"")"),"The leader criticized Mamunul Haque and posted a status on Facebook. It accused Mamunul of spreading communal hatred and opposing Bangabandhu's sculpture.")</f>
        <v>The leader criticized Mamunul Haque and posted a status on Facebook. It accused Mamunul of spreading communal hatred and opposing Bangabandhu's sculpture.</v>
      </c>
      <c r="D1941" s="2"/>
      <c r="E1941" s="2"/>
      <c r="F1941" s="2"/>
      <c r="G1941" s="2"/>
      <c r="H1941" s="5"/>
      <c r="I1941" s="5"/>
      <c r="J1941" s="5"/>
      <c r="K1941" s="5"/>
      <c r="L1941" s="5"/>
      <c r="M1941" s="5"/>
      <c r="N1941" s="5"/>
      <c r="O1941" s="5"/>
      <c r="P1941" s="5"/>
      <c r="Q1941" s="5"/>
      <c r="R1941" s="5"/>
      <c r="S1941" s="5"/>
      <c r="T1941" s="5"/>
      <c r="U1941" s="5"/>
      <c r="V1941" s="5"/>
      <c r="W1941" s="5"/>
      <c r="X1941" s="5"/>
      <c r="Y1941" s="5"/>
      <c r="Z1941" s="5"/>
    </row>
    <row r="1942" spans="1:26" ht="15.6" x14ac:dyDescent="0.3">
      <c r="A1942" s="19" t="s">
        <v>5</v>
      </c>
      <c r="B1942" s="26" t="s">
        <v>1940</v>
      </c>
      <c r="C1942" s="2" t="str">
        <f ca="1">IFERROR(__xludf.DUMMYFUNCTION("GOOGLETRANSLATE(B1942, ""bn"", ""en"")"),"The time was February 1982. About 40,000 Sunni Muslims were killed in this barbaric massacre. And millions of Muslims were arrested. Among those arrested, 15,000 Muslims were disappeared by the Nusayri forces.")</f>
        <v>The time was February 1982. About 40,000 Sunni Muslims were killed in this barbaric massacre. And millions of Muslims were arrested. Among those arrested, 15,000 Muslims were disappeared by the Nusayri forces.</v>
      </c>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r="1943" spans="1:26" ht="15.6" x14ac:dyDescent="0.3">
      <c r="A1943" s="19" t="s">
        <v>3</v>
      </c>
      <c r="B1943" s="26" t="s">
        <v>1941</v>
      </c>
      <c r="C1943" s="2" t="str">
        <f ca="1">IFERROR(__xludf.DUMMYFUNCTION("GOOGLETRANSLATE(B1943, ""bn"", ""en"")"),"Due to the rain and cloudiness of Asadhi Purnima, there is less opportunity to light lanterns, so on Prabarana or Ashwini Purnima, lanterns are lit during the day.")</f>
        <v>Due to the rain and cloudiness of Asadhi Purnima, there is less opportunity to light lanterns, so on Prabarana or Ashwini Purnima, lanterns are lit during the day.</v>
      </c>
      <c r="D1943" s="7"/>
      <c r="E1943" s="7"/>
      <c r="F1943" s="7"/>
      <c r="G1943" s="7"/>
      <c r="H1943" s="7"/>
      <c r="I1943" s="7"/>
      <c r="J1943" s="5"/>
      <c r="K1943" s="5"/>
      <c r="L1943" s="5"/>
      <c r="M1943" s="5"/>
      <c r="N1943" s="5"/>
      <c r="O1943" s="5"/>
      <c r="P1943" s="5"/>
      <c r="Q1943" s="5"/>
      <c r="R1943" s="5"/>
      <c r="S1943" s="5"/>
      <c r="T1943" s="5"/>
      <c r="U1943" s="5"/>
      <c r="V1943" s="5"/>
      <c r="W1943" s="5"/>
      <c r="X1943" s="5"/>
      <c r="Y1943" s="5"/>
      <c r="Z1943" s="5"/>
    </row>
    <row r="1944" spans="1:26" ht="15.6" x14ac:dyDescent="0.3">
      <c r="A1944" s="18" t="s">
        <v>5</v>
      </c>
      <c r="B1944" s="24" t="s">
        <v>1942</v>
      </c>
      <c r="C1944" s="2" t="str">
        <f ca="1">IFERROR(__xludf.DUMMYFUNCTION("GOOGLETRANSLATE(B1944, ""bn"", ""en"")"),"When religious violence escalated in Jhenaidah, the police cordoned off the area and tried to bring peace, but the mob attacked them. At least 52 people were killed. Many families fled their villages due to insecurity. The police failed to control the sit"&amp;"uation.")</f>
        <v>When religious violence escalated in Jhenaidah, the police cordoned off the area and tried to bring peace, but the mob attacked them. At least 52 people were killed. Many families fled their villages due to insecurity. The police failed to control the situation.</v>
      </c>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r="1945" spans="1:26" ht="15.6" x14ac:dyDescent="0.3">
      <c r="A1945" s="18" t="s">
        <v>23</v>
      </c>
      <c r="B1945" s="24" t="s">
        <v>1943</v>
      </c>
      <c r="C1945" s="2" t="str">
        <f ca="1">IFERROR(__xludf.DUMMYFUNCTION("GOOGLETRANSLATE(B1945, ""bn"", ""en"")"),"Muslim extremists create unrest in society by harboring violence against religions other than their own.")</f>
        <v>Muslim extremists create unrest in society by harboring violence against religions other than their own.</v>
      </c>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r="1946" spans="1:26" ht="15.6" x14ac:dyDescent="0.3">
      <c r="A1946" s="19" t="s">
        <v>3</v>
      </c>
      <c r="B1946" s="26" t="s">
        <v>1944</v>
      </c>
      <c r="C1946" s="2" t="str">
        <f ca="1">IFERROR(__xludf.DUMMYFUNCTION("GOOGLETRANSLATE(B1946, ""bn"", ""en"")"),"oh god I left everything to you. You will punish them with such a terrible punishment that it will be an example for all the disbelievers of this world. Amen Amen Amen God you judge.")</f>
        <v>oh god I left everything to you. You will punish them with such a terrible punishment that it will be an example for all the disbelievers of this world. Amen Amen Amen God you judge.</v>
      </c>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r="1947" spans="1:26" ht="15.6" x14ac:dyDescent="0.3">
      <c r="A1947" s="18" t="s">
        <v>3</v>
      </c>
      <c r="B1947" s="24" t="s">
        <v>1945</v>
      </c>
      <c r="C1947" s="2" t="str">
        <f ca="1">IFERROR(__xludf.DUMMYFUNCTION("GOOGLETRANSLATE(B1947, ""bn"", ""en"")"),"The basic message of all religions is: love, wish for others what you want for yourself.")</f>
        <v>The basic message of all religions is: love, wish for others what you want for yourself.</v>
      </c>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r="1948" spans="1:26" ht="15.6" x14ac:dyDescent="0.3">
      <c r="A1948" s="19" t="s">
        <v>3</v>
      </c>
      <c r="B1948" s="26" t="s">
        <v>1946</v>
      </c>
      <c r="C1948" s="2" t="str">
        <f ca="1">IFERROR(__xludf.DUMMYFUNCTION("GOOGLETRANSLATE(B1948, ""bn"", ""en"")"),"""In the world you live as if you were a stranger or a stranger.""")</f>
        <v>"In the world you live as if you were a stranger or a stranger."</v>
      </c>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r="1949" spans="1:26" ht="15.6" x14ac:dyDescent="0.3">
      <c r="A1949" s="18" t="s">
        <v>3</v>
      </c>
      <c r="B1949" s="25" t="s">
        <v>1947</v>
      </c>
      <c r="C1949" s="2" t="str">
        <f ca="1">IFERROR(__xludf.DUMMYFUNCTION("GOOGLETRANSLATE(B1949, ""bn"", ""en"")"),"Our Hindu religion does not teach hatred towards any religion. We always respect our own religion as well as other religions, yes this is the principle of our traditional religion.")</f>
        <v>Our Hindu religion does not teach hatred towards any religion. We always respect our own religion as well as other religions, yes this is the principle of our traditional religion.</v>
      </c>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r="1950" spans="1:26" ht="15.6" x14ac:dyDescent="0.3">
      <c r="A1950" s="19" t="s">
        <v>8</v>
      </c>
      <c r="B1950" s="26" t="s">
        <v>1948</v>
      </c>
      <c r="C1950" s="2" t="str">
        <f ca="1">IFERROR(__xludf.DUMMYFUNCTION("GOOGLETRANSLATE(B1950, ""bn"", ""en"")"),"And throughout the year, Hindu-Muslim riots continue. The country should be aware before going in that direction")</f>
        <v>And throughout the year, Hindu-Muslim riots continue. The country should be aware before going in that direction</v>
      </c>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r="1951" spans="1:26" ht="15.6" x14ac:dyDescent="0.3">
      <c r="A1951" s="18" t="s">
        <v>5</v>
      </c>
      <c r="B1951" s="24" t="s">
        <v>1949</v>
      </c>
      <c r="C1951" s="2" t="str">
        <f ca="1">IFERROR(__xludf.DUMMYFUNCTION("GOOGLETRANSLATE(B1951, ""bn"", ""en"")"),"In September 2018, a woman was fired from her job because of her religion; He committed suicide due to poverty; Later, 11 people committed suicide.")</f>
        <v>In September 2018, a woman was fired from her job because of her religion; He committed suicide due to poverty; Later, 11 people committed suicide.</v>
      </c>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r="1952" spans="1:26" ht="15.6" x14ac:dyDescent="0.3">
      <c r="A1952" s="19" t="s">
        <v>3</v>
      </c>
      <c r="B1952" s="26" t="s">
        <v>1950</v>
      </c>
      <c r="C1952" s="2" t="str">
        <f ca="1">IFERROR(__xludf.DUMMYFUNCTION("GOOGLETRANSLATE(B1952, ""bn"", ""en"")"),"If you are a Muslim, you must practice the right religion and not be inferior in front of others. I am with all the victims of oppression and my feelings are equal for all.")</f>
        <v>If you are a Muslim, you must practice the right religion and not be inferior in front of others. I am with all the victims of oppression and my feelings are equal for all.</v>
      </c>
      <c r="D1952" s="7"/>
      <c r="E1952" s="7"/>
      <c r="F1952" s="7"/>
      <c r="G1952" s="7"/>
      <c r="H1952" s="7"/>
      <c r="I1952" s="7"/>
      <c r="J1952" s="7"/>
      <c r="K1952" s="7"/>
      <c r="L1952" s="7"/>
      <c r="M1952" s="5"/>
      <c r="N1952" s="5"/>
      <c r="O1952" s="5"/>
      <c r="P1952" s="5"/>
      <c r="Q1952" s="5"/>
      <c r="R1952" s="5"/>
      <c r="S1952" s="5"/>
      <c r="T1952" s="5"/>
      <c r="U1952" s="5"/>
      <c r="V1952" s="5"/>
      <c r="W1952" s="5"/>
      <c r="X1952" s="5"/>
      <c r="Y1952" s="5"/>
      <c r="Z1952" s="5"/>
    </row>
    <row r="1953" spans="1:26" ht="15.6" x14ac:dyDescent="0.3">
      <c r="A1953" s="19" t="s">
        <v>3</v>
      </c>
      <c r="B1953" s="26" t="s">
        <v>1951</v>
      </c>
      <c r="C1953" s="2" t="str">
        <f ca="1">IFERROR(__xludf.DUMMYFUNCTION("GOOGLETRANSLATE(B1953, ""bn"", ""en"")"),"The teaching of Christianity is that every man should love and respect his neighbor, for God has shown equal love to all, and we should express this love to others, never resorting to violence.")</f>
        <v>The teaching of Christianity is that every man should love and respect his neighbor, for God has shown equal love to all, and we should express this love to others, never resorting to violence.</v>
      </c>
      <c r="D1953" s="7"/>
      <c r="E1953" s="7"/>
      <c r="F1953" s="5"/>
      <c r="G1953" s="5"/>
      <c r="H1953" s="5"/>
      <c r="I1953" s="5"/>
      <c r="J1953" s="5"/>
      <c r="K1953" s="5"/>
      <c r="L1953" s="5"/>
      <c r="M1953" s="5"/>
      <c r="N1953" s="5"/>
      <c r="O1953" s="5"/>
      <c r="P1953" s="5"/>
      <c r="Q1953" s="5"/>
      <c r="R1953" s="5"/>
      <c r="S1953" s="5"/>
      <c r="T1953" s="5"/>
      <c r="U1953" s="5"/>
      <c r="V1953" s="5"/>
      <c r="W1953" s="5"/>
      <c r="X1953" s="5"/>
      <c r="Y1953" s="5"/>
      <c r="Z1953" s="5"/>
    </row>
    <row r="1954" spans="1:26" ht="15.6" x14ac:dyDescent="0.3">
      <c r="A1954" s="18" t="s">
        <v>8</v>
      </c>
      <c r="B1954" s="25" t="s">
        <v>1952</v>
      </c>
      <c r="C1954" s="2" t="str">
        <f ca="1">IFERROR(__xludf.DUMMYFUNCTION("GOOGLETRANSLATE(B1954, ""bn"", ""en"")"),"From October 10, 1946, atrocities began in the areas under the control of Ramganj Police Station in the north of Noakhali district. This rampant brutality is described as 'organized violence by Muslim mobs'")</f>
        <v>From October 10, 1946, atrocities began in the areas under the control of Ramganj Police Station in the north of Noakhali district. This rampant brutality is described as 'organized violence by Muslim mobs'</v>
      </c>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r="1955" spans="1:26" ht="15.6" x14ac:dyDescent="0.3">
      <c r="A1955" s="19" t="s">
        <v>23</v>
      </c>
      <c r="B1955" s="26" t="s">
        <v>1953</v>
      </c>
      <c r="C1955" s="2" t="str">
        <f ca="1">IFERROR(__xludf.DUMMYFUNCTION("GOOGLETRANSLATE(B1955, ""bn"", ""en"")"),"On 7 September 2008, VHP leader Togaria threatened a nationwide movement to protest the killing of Saraswati. Churches and Christian communities demanded changes in the state government.")</f>
        <v>On 7 September 2008, VHP leader Togaria threatened a nationwide movement to protest the killing of Saraswati. Churches and Christian communities demanded changes in the state government.</v>
      </c>
      <c r="D1955" s="7"/>
      <c r="E1955" s="7"/>
      <c r="F1955" s="7"/>
      <c r="G1955" s="7"/>
      <c r="H1955" s="7"/>
      <c r="I1955" s="7"/>
      <c r="J1955" s="7"/>
      <c r="K1955" s="7"/>
      <c r="L1955" s="7"/>
      <c r="M1955" s="7"/>
      <c r="N1955" s="5"/>
      <c r="O1955" s="5"/>
      <c r="P1955" s="5"/>
      <c r="Q1955" s="5"/>
      <c r="R1955" s="5"/>
      <c r="S1955" s="5"/>
      <c r="T1955" s="5"/>
      <c r="U1955" s="5"/>
      <c r="V1955" s="5"/>
      <c r="W1955" s="5"/>
      <c r="X1955" s="5"/>
      <c r="Y1955" s="5"/>
      <c r="Z1955" s="5"/>
    </row>
    <row r="1956" spans="1:26" ht="15.6" x14ac:dyDescent="0.3">
      <c r="A1956" s="18" t="s">
        <v>5</v>
      </c>
      <c r="B1956" s="24" t="s">
        <v>1954</v>
      </c>
      <c r="C1956" s="2" t="str">
        <f ca="1">IFERROR(__xludf.DUMMYFUNCTION("GOOGLETRANSLATE(B1956, ""bn"", ""en"")"),"In a village in Sirajganj, a minority Hindu community was attacked due to communal unrest. Houses and temples were burned, killing at least 42 people, most of them women and children. Many people were injured. Affected families become homeless and wait fo"&amp;"r government assistance for rehabilitation for a long time.")</f>
        <v>In a village in Sirajganj, a minority Hindu community was attacked due to communal unrest. Houses and temples were burned, killing at least 42 people, most of them women and children. Many people were injured. Affected families become homeless and wait for government assistance for rehabilitation for a long time.</v>
      </c>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r="1957" spans="1:26" ht="15.6" x14ac:dyDescent="0.3">
      <c r="A1957" s="18" t="s">
        <v>3</v>
      </c>
      <c r="B1957" s="25" t="s">
        <v>1955</v>
      </c>
      <c r="C1957" s="2" t="str">
        <f ca="1">IFERROR(__xludf.DUMMYFUNCTION("GOOGLETRANSLATE(B1957, ""bn"", ""en"")"),"The veneration of the Buddha began within Hinduism, which led to the end of Buddhism. Hinduism then became the center of faith and devotional songs of various faiths.")</f>
        <v>The veneration of the Buddha began within Hinduism, which led to the end of Buddhism. Hinduism then became the center of faith and devotional songs of various faiths.</v>
      </c>
      <c r="D1957" s="2"/>
      <c r="E1957" s="2"/>
      <c r="F1957" s="2"/>
      <c r="G1957" s="2"/>
      <c r="H1957" s="3"/>
      <c r="I1957" s="3"/>
      <c r="J1957" s="3"/>
      <c r="K1957" s="3"/>
      <c r="L1957" s="3"/>
      <c r="M1957" s="3"/>
      <c r="N1957" s="3"/>
      <c r="O1957" s="3"/>
      <c r="P1957" s="3"/>
      <c r="Q1957" s="3"/>
      <c r="R1957" s="3"/>
      <c r="S1957" s="3"/>
      <c r="T1957" s="3"/>
      <c r="U1957" s="3"/>
      <c r="V1957" s="3"/>
      <c r="W1957" s="3"/>
      <c r="X1957" s="3"/>
      <c r="Y1957" s="3"/>
      <c r="Z1957" s="3"/>
    </row>
    <row r="1958" spans="1:26" ht="15.6" x14ac:dyDescent="0.3">
      <c r="A1958" s="18" t="s">
        <v>3</v>
      </c>
      <c r="B1958" s="25" t="s">
        <v>1956</v>
      </c>
      <c r="C1958" s="2" t="str">
        <f ca="1">IFERROR(__xludf.DUMMYFUNCTION("GOOGLETRANSLATE(B1958, ""bn"", ""en"")"),"Obey religion for yourself, for your family, for society and for the state.")</f>
        <v>Obey religion for yourself, for your family, for society and for the state.</v>
      </c>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r="1959" spans="1:26" ht="15.6" x14ac:dyDescent="0.3">
      <c r="A1959" s="19" t="s">
        <v>8</v>
      </c>
      <c r="B1959" s="26" t="s">
        <v>1957</v>
      </c>
      <c r="C1959" s="2" t="str">
        <f ca="1">IFERROR(__xludf.DUMMYFUNCTION("GOOGLETRANSLATE(B1959, ""bn"", ""en"")"),"Terrorists set fire to a temple in Khilgaon")</f>
        <v>Terrorists set fire to a temple in Khilgaon</v>
      </c>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r="1960" spans="1:26" ht="15.6" x14ac:dyDescent="0.3">
      <c r="A1960" s="19" t="s">
        <v>5</v>
      </c>
      <c r="B1960" s="26" t="s">
        <v>1958</v>
      </c>
      <c r="C1960" s="2" t="str">
        <f ca="1">IFERROR(__xludf.DUMMYFUNCTION("GOOGLETRANSLATE(B1960, ""bn"", ""en"")"),"According to eyewitness Gobind Chandra Das, armed forces entered the compartment of a train in Bangladesh and started killing the passengers one by one with sharp ramadas. Children, old people and women did not survive. About 448 people were killed in the"&amp;" massacre.")</f>
        <v>According to eyewitness Gobind Chandra Das, armed forces entered the compartment of a train in Bangladesh and started killing the passengers one by one with sharp ramadas. Children, old people and women did not survive. About 448 people were killed in the massacre.</v>
      </c>
      <c r="D1960" s="7"/>
      <c r="E1960" s="7"/>
      <c r="F1960" s="7"/>
      <c r="G1960" s="7"/>
      <c r="H1960" s="7"/>
      <c r="I1960" s="7"/>
      <c r="J1960" s="7"/>
      <c r="K1960" s="7"/>
      <c r="L1960" s="7"/>
      <c r="M1960" s="7"/>
      <c r="N1960" s="7"/>
      <c r="O1960" s="7"/>
      <c r="P1960" s="7"/>
      <c r="Q1960" s="7"/>
      <c r="R1960" s="7"/>
      <c r="S1960" s="7"/>
      <c r="T1960" s="5"/>
      <c r="U1960" s="5"/>
      <c r="V1960" s="5"/>
      <c r="W1960" s="5"/>
      <c r="X1960" s="5"/>
      <c r="Y1960" s="5"/>
      <c r="Z1960" s="5"/>
    </row>
    <row r="1961" spans="1:26" ht="15.6" x14ac:dyDescent="0.3">
      <c r="A1961" s="19" t="s">
        <v>3</v>
      </c>
      <c r="B1961" s="26" t="s">
        <v>1959</v>
      </c>
      <c r="C1961" s="2" t="str">
        <f ca="1">IFERROR(__xludf.DUMMYFUNCTION("GOOGLETRANSLATE(B1961, ""bn"", ""en"")"),"We do not think that anyone's religious sentiments should be hurt. We should have the attitude of religious freedom as everyone has individual freedom.")</f>
        <v>We do not think that anyone's religious sentiments should be hurt. We should have the attitude of religious freedom as everyone has individual freedom.</v>
      </c>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r="1962" spans="1:26" ht="15.6" x14ac:dyDescent="0.3">
      <c r="A1962" s="18" t="s">
        <v>5</v>
      </c>
      <c r="B1962" s="25" t="s">
        <v>1960</v>
      </c>
      <c r="C1962" s="2" t="str">
        <f ca="1">IFERROR(__xludf.DUMMYFUNCTION("GOOGLETRANSLATE(B1962, ""bn"", ""en"")"),"Hundreds of Hindus and Rajvanshis were killed in Jathivanga due to religious hatred. The massacre was carried out by the barbaric soldiers with the help of Bangladeshi dosars.")</f>
        <v>Hundreds of Hindus and Rajvanshis were killed in Jathivanga due to religious hatred. The massacre was carried out by the barbaric soldiers with the help of Bangladeshi dosars.</v>
      </c>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r="1963" spans="1:26" ht="15.6" x14ac:dyDescent="0.3">
      <c r="A1963" s="18" t="s">
        <v>8</v>
      </c>
      <c r="B1963" s="24" t="s">
        <v>1961</v>
      </c>
      <c r="C1963" s="2" t="str">
        <f ca="1">IFERROR(__xludf.DUMMYFUNCTION("GOOGLETRANSLATE(B1963, ""bn"", ""en"")"),"A Shiva linga was smashed with a hammer after entering a Sanatan temple in Mymensingh, leaving local worshipers speechless.")</f>
        <v>A Shiva linga was smashed with a hammer after entering a Sanatan temple in Mymensingh, leaving local worshipers speechless.</v>
      </c>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r="1964" spans="1:26" ht="15.6" x14ac:dyDescent="0.3">
      <c r="A1964" s="18" t="s">
        <v>5</v>
      </c>
      <c r="B1964" s="25" t="s">
        <v>1962</v>
      </c>
      <c r="C1964" s="2" t="str">
        <f ca="1">IFERROR(__xludf.DUMMYFUNCTION("GOOGLETRANSLATE(B1964, ""bn"", ""en"")"),"In 2023, Hindu-Muslim clashes erupted in riots, burning many shops and houses and killing several people.")</f>
        <v>In 2023, Hindu-Muslim clashes erupted in riots, burning many shops and houses and killing several people.</v>
      </c>
      <c r="D1964" s="2"/>
      <c r="E1964" s="2"/>
      <c r="F1964" s="2"/>
      <c r="G1964" s="2"/>
      <c r="H1964" s="5"/>
      <c r="I1964" s="5"/>
      <c r="J1964" s="5"/>
      <c r="K1964" s="5"/>
      <c r="L1964" s="5"/>
      <c r="M1964" s="5"/>
      <c r="N1964" s="5"/>
      <c r="O1964" s="5"/>
      <c r="P1964" s="5"/>
      <c r="Q1964" s="5"/>
      <c r="R1964" s="5"/>
      <c r="S1964" s="5"/>
      <c r="T1964" s="5"/>
      <c r="U1964" s="5"/>
      <c r="V1964" s="5"/>
      <c r="W1964" s="5"/>
      <c r="X1964" s="5"/>
      <c r="Y1964" s="5"/>
      <c r="Z1964" s="5"/>
    </row>
    <row r="1965" spans="1:26" ht="15.6" x14ac:dyDescent="0.3">
      <c r="A1965" s="18" t="s">
        <v>5</v>
      </c>
      <c r="B1965" s="24" t="s">
        <v>1963</v>
      </c>
      <c r="C1965" s="2" t="str">
        <f ca="1">IFERROR(__xludf.DUMMYFUNCTION("GOOGLETRANSLATE(B1965, ""bn"", ""en"")"),"In July 2024, Hindu Buddhist Christian Oikya Parishad reported that 45 people were killed in 1,045 incidents of communal violence from July 2023 to June 2024.")</f>
        <v>In July 2024, Hindu Buddhist Christian Oikya Parishad reported that 45 people were killed in 1,045 incidents of communal violence from July 2023 to June 2024.</v>
      </c>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r="1966" spans="1:26" ht="15.6" x14ac:dyDescent="0.3">
      <c r="A1966" s="18" t="s">
        <v>8</v>
      </c>
      <c r="B1966" s="25" t="s">
        <v>1964</v>
      </c>
      <c r="C1966" s="2" t="str">
        <f ca="1">IFERROR(__xludf.DUMMYFUNCTION("GOOGLETRANSLATE(B1966, ""bn"", ""en"")"),"In Jatrapur village of Muradnagar, Comilla, a Durga shrine was vandalized by several idols.")</f>
        <v>In Jatrapur village of Muradnagar, Comilla, a Durga shrine was vandalized by several idols.</v>
      </c>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r="1967" spans="1:26" ht="15.6" x14ac:dyDescent="0.3">
      <c r="A1967" s="19" t="s">
        <v>5</v>
      </c>
      <c r="B1967" s="26" t="s">
        <v>1965</v>
      </c>
      <c r="C1967" s="2" t="str">
        <f ca="1">IFERROR(__xludf.DUMMYFUNCTION("GOOGLETRANSLATE(B1967, ""bn"", ""en"")"),"Religious violence erupted in Bangladesh in 2020, where attacks on Muslims left 53 dead and more than 200 seriously injured, believed to be the result of religious hatred.")</f>
        <v>Religious violence erupted in Bangladesh in 2020, where attacks on Muslims left 53 dead and more than 200 seriously injured, believed to be the result of religious hatred.</v>
      </c>
      <c r="D1967" s="2"/>
      <c r="E1967" s="2"/>
      <c r="F1967" s="2"/>
      <c r="G1967" s="2"/>
      <c r="H1967" s="5"/>
      <c r="I1967" s="5"/>
      <c r="J1967" s="5"/>
      <c r="K1967" s="5"/>
      <c r="L1967" s="5"/>
      <c r="M1967" s="5"/>
      <c r="N1967" s="5"/>
      <c r="O1967" s="5"/>
      <c r="P1967" s="5"/>
      <c r="Q1967" s="5"/>
      <c r="R1967" s="5"/>
      <c r="S1967" s="5"/>
      <c r="T1967" s="5"/>
      <c r="U1967" s="5"/>
      <c r="V1967" s="5"/>
      <c r="W1967" s="5"/>
      <c r="X1967" s="5"/>
      <c r="Y1967" s="5"/>
      <c r="Z1967" s="5"/>
    </row>
    <row r="1968" spans="1:26" ht="15.6" x14ac:dyDescent="0.3">
      <c r="A1968" s="19" t="s">
        <v>3</v>
      </c>
      <c r="B1968" s="26" t="s">
        <v>1966</v>
      </c>
      <c r="C1968" s="2" t="str">
        <f ca="1">IFERROR(__xludf.DUMMYFUNCTION("GOOGLETRANSLATE(B1968, ""bn"", ""en"")"),"Religion is the purpose and meaning of human life. It is the shining light of the moral and spiritual ideals of human society. Through religion, man can find his true path and make the right decision. It is an assimilation and ideal that helps people face"&amp;" all kinds of difficult plans and hardships for a long time. Religion guides people to the path of human elevation and peace. It opens the doors of brotherhood and relationship between people, and creates love, compassion and peace in society.")</f>
        <v>Religion is the purpose and meaning of human life. It is the shining light of the moral and spiritual ideals of human society. Through religion, man can find his true path and make the right decision. It is an assimilation and ideal that helps people face all kinds of difficult plans and hardships for a long time. Religion guides people to the path of human elevation and peace. It opens the doors of brotherhood and relationship between people, and creates love, compassion and peace in society.</v>
      </c>
      <c r="D1968" s="7"/>
      <c r="E1968" s="7"/>
      <c r="F1968" s="7"/>
      <c r="G1968" s="7"/>
      <c r="H1968" s="7"/>
      <c r="I1968" s="7"/>
      <c r="J1968" s="7"/>
      <c r="K1968" s="7"/>
      <c r="L1968" s="7"/>
      <c r="M1968" s="7"/>
      <c r="N1968" s="7"/>
      <c r="O1968" s="7"/>
      <c r="P1968" s="7"/>
      <c r="Q1968" s="7"/>
      <c r="R1968" s="7"/>
      <c r="S1968" s="7"/>
      <c r="T1968" s="7"/>
      <c r="U1968" s="7"/>
      <c r="V1968" s="7"/>
      <c r="W1968" s="7"/>
      <c r="X1968" s="7"/>
      <c r="Y1968" s="7"/>
      <c r="Z1968" s="7"/>
    </row>
    <row r="1969" spans="1:26" ht="15.6" x14ac:dyDescent="0.3">
      <c r="A1969" s="18" t="s">
        <v>5</v>
      </c>
      <c r="B1969" s="24" t="s">
        <v>1967</v>
      </c>
      <c r="C1969" s="2" t="str">
        <f ca="1">IFERROR(__xludf.DUMMYFUNCTION("GOOGLETRANSLATE(B1969, ""bn"", ""en"")"),"A group of extremists in Comilla carried out a planned attack on the minority Hindus, killing 52 people. Although the police worked actively to quell the riots, the mob attacked them. When the situation went out of control, thousands of people panicked an"&amp;"d were forced to take shelter outside the village. Many of them remain missing for a long time.")</f>
        <v>A group of extremists in Comilla carried out a planned attack on the minority Hindus, killing 52 people. Although the police worked actively to quell the riots, the mob attacked them. When the situation went out of control, thousands of people panicked and were forced to take shelter outside the village. Many of them remain missing for a long time.</v>
      </c>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r="1970" spans="1:26" ht="15.6" x14ac:dyDescent="0.3">
      <c r="A1970" s="19" t="s">
        <v>23</v>
      </c>
      <c r="B1970" s="26" t="s">
        <v>1968</v>
      </c>
      <c r="C1970" s="2" t="str">
        <f ca="1">IFERROR(__xludf.DUMMYFUNCTION("GOOGLETRANSLATE(B1970, ""bn"", ""en"")"),"Religion is harmed mainly by those who neglect madrasas and destroy temples; Those who do business with religion.")</f>
        <v>Religion is harmed mainly by those who neglect madrasas and destroy temples; Those who do business with religion.</v>
      </c>
      <c r="D1970" s="7"/>
      <c r="E1970" s="7"/>
      <c r="F1970" s="7"/>
      <c r="G1970" s="5"/>
      <c r="H1970" s="5"/>
      <c r="I1970" s="5"/>
      <c r="J1970" s="5"/>
      <c r="K1970" s="5"/>
      <c r="L1970" s="5"/>
      <c r="M1970" s="5"/>
      <c r="N1970" s="5"/>
      <c r="O1970" s="5"/>
      <c r="P1970" s="5"/>
      <c r="Q1970" s="5"/>
      <c r="R1970" s="5"/>
      <c r="S1970" s="5"/>
      <c r="T1970" s="5"/>
      <c r="U1970" s="5"/>
      <c r="V1970" s="5"/>
      <c r="W1970" s="5"/>
      <c r="X1970" s="5"/>
      <c r="Y1970" s="5"/>
      <c r="Z1970" s="5"/>
    </row>
    <row r="1971" spans="1:26" ht="15.6" x14ac:dyDescent="0.3">
      <c r="A1971" s="18" t="s">
        <v>8</v>
      </c>
      <c r="B1971" s="25" t="s">
        <v>1969</v>
      </c>
      <c r="C1971" s="2" t="str">
        <f ca="1">IFERROR(__xludf.DUMMYFUNCTION("GOOGLETRANSLATE(B1971, ""bn"", ""en"")"),"On October 16, a peaceful Hindu procession was attacked and a temple vandalized in Feni. At the end of the prayer, the Muslims were enraged with Islamic slogans and carried out anti-religious attacks with bricks and bamboo.")</f>
        <v>On October 16, a peaceful Hindu procession was attacked and a temple vandalized in Feni. At the end of the prayer, the Muslims were enraged with Islamic slogans and carried out anti-religious attacks with bricks and bamboo.</v>
      </c>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r="1972" spans="1:26" ht="15.6" x14ac:dyDescent="0.3">
      <c r="A1972" s="19" t="s">
        <v>5</v>
      </c>
      <c r="B1972" s="26" t="s">
        <v>1970</v>
      </c>
      <c r="C1972" s="2" t="str">
        <f ca="1">IFERROR(__xludf.DUMMYFUNCTION("GOOGLETRANSLATE(B1972, ""bn"", ""en"")"),"Until November 1980, violence continued to be minimal. There was a major attack on Rakhi Bandhan in September, and at least 14 people were killed by assailants at the end of October.")</f>
        <v>Until November 1980, violence continued to be minimal. There was a major attack on Rakhi Bandhan in September, and at least 14 people were killed by assailants at the end of October.</v>
      </c>
      <c r="D1972" s="7"/>
      <c r="E1972" s="7"/>
      <c r="F1972" s="7"/>
      <c r="G1972" s="7"/>
      <c r="H1972" s="7"/>
      <c r="I1972" s="7"/>
      <c r="J1972" s="7"/>
      <c r="K1972" s="7"/>
      <c r="L1972" s="7"/>
      <c r="M1972" s="7"/>
      <c r="N1972" s="7"/>
      <c r="O1972" s="5"/>
      <c r="P1972" s="5"/>
      <c r="Q1972" s="5"/>
      <c r="R1972" s="5"/>
      <c r="S1972" s="5"/>
      <c r="T1972" s="5"/>
      <c r="U1972" s="5"/>
      <c r="V1972" s="5"/>
      <c r="W1972" s="5"/>
      <c r="X1972" s="5"/>
      <c r="Y1972" s="5"/>
      <c r="Z1972" s="5"/>
    </row>
    <row r="1973" spans="1:26" ht="15.6" x14ac:dyDescent="0.3">
      <c r="A1973" s="18" t="s">
        <v>5</v>
      </c>
      <c r="B1973" s="24" t="s">
        <v>1971</v>
      </c>
      <c r="C1973" s="2" t="str">
        <f ca="1">IFERROR(__xludf.DUMMYFUNCTION("GOOGLETRANSLATE(B1973, ""bn"", ""en"")"),"In Tangail, 32 people were killed in a clash between a group of religious groups; Many were injured.")</f>
        <v>In Tangail, 32 people were killed in a clash between a group of religious groups; Many were injured.</v>
      </c>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r="1974" spans="1:26" ht="15.6" x14ac:dyDescent="0.3">
      <c r="A1974" s="18" t="s">
        <v>3</v>
      </c>
      <c r="B1974" s="25" t="s">
        <v>1972</v>
      </c>
      <c r="C1974" s="2" t="str">
        <f ca="1">IFERROR(__xludf.DUMMYFUNCTION("GOOGLETRANSLATE(B1974, ""bn"", ""en"")"),"A good politician will never allow any communal trouble between Hindus, Muslims, Buddhists, Christians who are living in this parliamentary seat.")</f>
        <v>A good politician will never allow any communal trouble between Hindus, Muslims, Buddhists, Christians who are living in this parliamentary seat.</v>
      </c>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r="1975" spans="1:26" ht="15.6" x14ac:dyDescent="0.3">
      <c r="A1975" s="19" t="s">
        <v>3</v>
      </c>
      <c r="B1975" s="26" t="s">
        <v>1973</v>
      </c>
      <c r="C1975" s="2" t="str">
        <f ca="1">IFERROR(__xludf.DUMMYFUNCTION("GOOGLETRANSLATE(B1975, ""bn"", ""en"")"),"The word 'Buddha' means great sage. According to the Buddhist religion, he is the 'Buddha' who has become aware of the essence of the world and before attaining nirvana, he has advised all living beings on the way to attain nirvana.")</f>
        <v>The word 'Buddha' means great sage. According to the Buddhist religion, he is the 'Buddha' who has become aware of the essence of the world and before attaining nirvana, he has advised all living beings on the way to attain nirvana.</v>
      </c>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r="1976" spans="1:26" ht="15.6" x14ac:dyDescent="0.3">
      <c r="A1976" s="18" t="s">
        <v>8</v>
      </c>
      <c r="B1976" s="25" t="s">
        <v>1974</v>
      </c>
      <c r="C1976" s="2" t="str">
        <f ca="1">IFERROR(__xludf.DUMMYFUNCTION("GOOGLETRANSLATE(B1976, ""bn"", ""en"")"),"Two Hindu houses owned by a local Awami League leader were set on fire in Nagram Union. On April 3, miscreants set fire to a Hindu temple after vandalizing three idols of deities again at the same place.")</f>
        <v>Two Hindu houses owned by a local Awami League leader were set on fire in Nagram Union. On April 3, miscreants set fire to a Hindu temple after vandalizing three idols of deities again at the same place.</v>
      </c>
      <c r="D1976" s="6"/>
      <c r="E1976" s="6"/>
      <c r="F1976" s="2"/>
      <c r="G1976" s="2"/>
      <c r="H1976" s="3"/>
      <c r="I1976" s="3"/>
      <c r="J1976" s="3"/>
      <c r="K1976" s="3"/>
      <c r="L1976" s="3"/>
      <c r="M1976" s="3"/>
      <c r="N1976" s="3"/>
      <c r="O1976" s="3"/>
      <c r="P1976" s="3"/>
      <c r="Q1976" s="3"/>
      <c r="R1976" s="3"/>
      <c r="S1976" s="3"/>
      <c r="T1976" s="3"/>
      <c r="U1976" s="3"/>
      <c r="V1976" s="3"/>
      <c r="W1976" s="3"/>
      <c r="X1976" s="3"/>
      <c r="Y1976" s="3"/>
      <c r="Z1976" s="3"/>
    </row>
    <row r="1977" spans="1:26" ht="15.6" x14ac:dyDescent="0.3">
      <c r="A1977" s="19" t="s">
        <v>8</v>
      </c>
      <c r="B1977" s="26" t="s">
        <v>1975</v>
      </c>
      <c r="C1977" s="2" t="str">
        <f ca="1">IFERROR(__xludf.DUMMYFUNCTION("GOOGLETRANSLATE(B1977, ""bn"", ""en"")"),"On that day, in at least 21 districts of the country, including Dhaka, under the banner of the angry Islamic crowd, attacks were carried out on the homes, business establishments and temples of Hindus.")</f>
        <v>On that day, in at least 21 districts of the country, including Dhaka, under the banner of the angry Islamic crowd, attacks were carried out on the homes, business establishments and temples of Hindus.</v>
      </c>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r="1978" spans="1:26" ht="15.6" x14ac:dyDescent="0.3">
      <c r="A1978" s="18" t="s">
        <v>3</v>
      </c>
      <c r="B1978" s="25" t="s">
        <v>1976</v>
      </c>
      <c r="C1978" s="2" t="str">
        <f ca="1">IFERROR(__xludf.DUMMYFUNCTION("GOOGLETRANSLATE(B1978, ""bn"", ""en"")"),"It was only through their criticism that I came to know the truth of Sanatan Dharma.")</f>
        <v>It was only through their criticism that I came to know the truth of Sanatan Dharma.</v>
      </c>
      <c r="D1978" s="2"/>
      <c r="E1978" s="2"/>
      <c r="F1978" s="2"/>
      <c r="G1978" s="2"/>
      <c r="H1978" s="3"/>
      <c r="I1978" s="3"/>
      <c r="J1978" s="3"/>
      <c r="K1978" s="3"/>
      <c r="L1978" s="3"/>
      <c r="M1978" s="3"/>
      <c r="N1978" s="3"/>
      <c r="O1978" s="3"/>
      <c r="P1978" s="3"/>
      <c r="Q1978" s="3"/>
      <c r="R1978" s="3"/>
      <c r="S1978" s="3"/>
      <c r="T1978" s="3"/>
      <c r="U1978" s="3"/>
      <c r="V1978" s="3"/>
      <c r="W1978" s="3"/>
      <c r="X1978" s="3"/>
      <c r="Y1978" s="3"/>
      <c r="Z1978" s="3"/>
    </row>
    <row r="1979" spans="1:26" ht="15.6" x14ac:dyDescent="0.3">
      <c r="A1979" s="19" t="s">
        <v>8</v>
      </c>
      <c r="B1979" s="26" t="s">
        <v>1977</v>
      </c>
      <c r="C1979" s="2" t="str">
        <f ca="1">IFERROR(__xludf.DUMMYFUNCTION("GOOGLETRANSLATE(B1979, ""bn"", ""en"")"),"Extremists attack a worship hall in Dinajpur and vandalize religious items, local administration remains silent.")</f>
        <v>Extremists attack a worship hall in Dinajpur and vandalize religious items, local administration remains silent.</v>
      </c>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r="1980" spans="1:26" ht="15.6" x14ac:dyDescent="0.3">
      <c r="A1980" s="19" t="s">
        <v>8</v>
      </c>
      <c r="B1980" s="26" t="s">
        <v>1978</v>
      </c>
      <c r="C1980" s="2" t="str">
        <f ca="1">IFERROR(__xludf.DUMMYFUNCTION("GOOGLETRANSLATE(B1980, ""bn"", ""en"")"),"Five suspects have been arrested two days after an attack and arson attack on a Hindu community's house and temple in a village of Lohagra upazila in Narail district of Bangladesh for allegedly 'posting insulting religion on Facebook'. There is still fear"&amp;" among Hindu families in the village")</f>
        <v>Five suspects have been arrested two days after an attack and arson attack on a Hindu community's house and temple in a village of Lohagra upazila in Narail district of Bangladesh for allegedly 'posting insulting religion on Facebook'. There is still fear among Hindu families in the village</v>
      </c>
      <c r="D1980" s="7"/>
      <c r="E1980" s="7"/>
      <c r="F1980" s="7"/>
      <c r="G1980" s="7"/>
      <c r="H1980" s="7"/>
      <c r="I1980" s="5"/>
      <c r="J1980" s="5"/>
      <c r="K1980" s="5"/>
      <c r="L1980" s="5"/>
      <c r="M1980" s="5"/>
      <c r="N1980" s="5"/>
      <c r="O1980" s="5"/>
      <c r="P1980" s="5"/>
      <c r="Q1980" s="5"/>
      <c r="R1980" s="5"/>
      <c r="S1980" s="5"/>
      <c r="T1980" s="5"/>
      <c r="U1980" s="5"/>
      <c r="V1980" s="5"/>
      <c r="W1980" s="5"/>
      <c r="X1980" s="5"/>
      <c r="Y1980" s="5"/>
      <c r="Z1980" s="5"/>
    </row>
    <row r="1981" spans="1:26" ht="15.6" x14ac:dyDescent="0.3">
      <c r="A1981" s="18" t="s">
        <v>3</v>
      </c>
      <c r="B1981" s="25" t="s">
        <v>1979</v>
      </c>
      <c r="C1981" s="2" t="str">
        <f ca="1">IFERROR(__xludf.DUMMYFUNCTION("GOOGLETRANSLATE(B1981, ""bn"", ""en"")"),"Shabbat in Japan is an important event for Muslims in Japan. In Islam, there are several Islamic ceremonies that have their own significance.")</f>
        <v>Shabbat in Japan is an important event for Muslims in Japan. In Islam, there are several Islamic ceremonies that have their own significance.</v>
      </c>
      <c r="D1981" s="2"/>
      <c r="E1981" s="2"/>
      <c r="F1981" s="2"/>
      <c r="G1981" s="2"/>
      <c r="H1981" s="3"/>
      <c r="I1981" s="3"/>
      <c r="J1981" s="3"/>
      <c r="K1981" s="3"/>
      <c r="L1981" s="3"/>
      <c r="M1981" s="3"/>
      <c r="N1981" s="3"/>
      <c r="O1981" s="3"/>
      <c r="P1981" s="3"/>
      <c r="Q1981" s="3"/>
      <c r="R1981" s="3"/>
      <c r="S1981" s="3"/>
      <c r="T1981" s="3"/>
      <c r="U1981" s="3"/>
      <c r="V1981" s="3"/>
      <c r="W1981" s="3"/>
      <c r="X1981" s="3"/>
      <c r="Y1981" s="3"/>
      <c r="Z1981" s="3"/>
    </row>
    <row r="1982" spans="1:26" ht="15.6" x14ac:dyDescent="0.3">
      <c r="A1982" s="19" t="s">
        <v>23</v>
      </c>
      <c r="B1982" s="26" t="s">
        <v>1980</v>
      </c>
      <c r="C1982" s="2" t="str">
        <f ca="1">IFERROR(__xludf.DUMMYFUNCTION("GOOGLETRANSLATE(B1982, ""bn"", ""en"")"),"We want justice for those who are involved in such heinous acts.")</f>
        <v>We want justice for those who are involved in such heinous acts.</v>
      </c>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r="1983" spans="1:26" ht="15.6" x14ac:dyDescent="0.3">
      <c r="A1983" s="18" t="s">
        <v>5</v>
      </c>
      <c r="B1983" s="24" t="s">
        <v>1981</v>
      </c>
      <c r="C1983" s="2" t="str">
        <f ca="1">IFERROR(__xludf.DUMMYFUNCTION("GOOGLETRANSLATE(B1983, ""bn"", ""en"")"),"In one school, girls were beaten for not wearing religious dress and a student committed suicide; Later, 16 more people were killed.")</f>
        <v>In one school, girls were beaten for not wearing religious dress and a student committed suicide; Later, 16 more people were killed.</v>
      </c>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r="1984" spans="1:26" ht="15.6" x14ac:dyDescent="0.3">
      <c r="A1984" s="19" t="s">
        <v>5</v>
      </c>
      <c r="B1984" s="26" t="s">
        <v>1982</v>
      </c>
      <c r="C1984" s="2" t="str">
        <f ca="1">IFERROR(__xludf.DUMMYFUNCTION("GOOGLETRANSLATE(B1984, ""bn"", ""en"")"),"Suicide doesn't just end a life. Rather, it threatens a family, society, state and even the entire human race.")</f>
        <v>Suicide doesn't just end a life. Rather, it threatens a family, society, state and even the entire human race.</v>
      </c>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r="1985" spans="1:26" ht="15.6" x14ac:dyDescent="0.3">
      <c r="A1985" s="18" t="s">
        <v>5</v>
      </c>
      <c r="B1985" s="25" t="s">
        <v>1983</v>
      </c>
      <c r="C1985" s="2" t="str">
        <f ca="1">IFERROR(__xludf.DUMMYFUNCTION("GOOGLETRANSLATE(B1985, ""bn"", ""en"")"),"Many innocent people lost their lives in a series of suicide blasts and brutal attacks by religious extremists targeting Shia Hazara Muslims.")</f>
        <v>Many innocent people lost their lives in a series of suicide blasts and brutal attacks by religious extremists targeting Shia Hazara Muslims.</v>
      </c>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r="1986" spans="1:26" ht="15.6" x14ac:dyDescent="0.3">
      <c r="A1986" s="19" t="s">
        <v>8</v>
      </c>
      <c r="B1986" s="26" t="s">
        <v>1984</v>
      </c>
      <c r="C1986" s="2" t="str">
        <f ca="1">IFERROR(__xludf.DUMMYFUNCTION("GOOGLETRANSLATE(B1986, ""bn"", ""en"")"),"In 627 AD, Khandek had three thousand Muslim soldiers. The Kafir army is 24 thousand. In 629 AD, the Muslim army at Khyber was 1,400. And the Kafir soldiers are 20,000. In the conquest of Mecca in 630 AD, the Muslim army numbered 10,000. The opposition wa"&amp;"s all the non-Muslims of Mecca. 12 thousand Muslim soldiers in the battle of Hunain in 630 AD. The opposing party were the people of the Hawazin and Sakif clans. In the battle of Tabuk in 631 AD, there were 30 thousand Muslims. Millions of non-Muslims wer"&amp;"e against.")</f>
        <v>In 627 AD, Khandek had three thousand Muslim soldiers. The Kafir army is 24 thousand. In 629 AD, the Muslim army at Khyber was 1,400. And the Kafir soldiers are 20,000. In the conquest of Mecca in 630 AD, the Muslim army numbered 10,000. The opposition was all the non-Muslims of Mecca. 12 thousand Muslim soldiers in the battle of Hunain in 630 AD. The opposing party were the people of the Hawazin and Sakif clans. In the battle of Tabuk in 631 AD, there were 30 thousand Muslims. Millions of non-Muslims were against.</v>
      </c>
      <c r="D1986" s="7"/>
      <c r="E1986" s="7"/>
      <c r="F1986" s="7"/>
      <c r="G1986" s="7"/>
      <c r="H1986" s="7"/>
      <c r="I1986" s="7"/>
      <c r="J1986" s="7"/>
      <c r="K1986" s="7"/>
      <c r="L1986" s="7"/>
      <c r="M1986" s="7"/>
      <c r="N1986" s="7"/>
      <c r="O1986" s="7"/>
      <c r="P1986" s="7"/>
      <c r="Q1986" s="7"/>
      <c r="R1986" s="7"/>
      <c r="S1986" s="7"/>
      <c r="T1986" s="7"/>
      <c r="U1986" s="7"/>
      <c r="V1986" s="7"/>
      <c r="W1986" s="7"/>
      <c r="X1986" s="7"/>
      <c r="Y1986" s="7"/>
      <c r="Z1986" s="7"/>
    </row>
    <row r="1987" spans="1:26" ht="15.6" x14ac:dyDescent="0.3">
      <c r="A1987" s="18" t="s">
        <v>3</v>
      </c>
      <c r="B1987" s="25" t="s">
        <v>1985</v>
      </c>
      <c r="C1987" s="2" t="str">
        <f ca="1">IFERROR(__xludf.DUMMYFUNCTION("GOOGLETRANSLATE(B1987, ""bn"", ""en"")"),"Religion is a deep spiritual relationship; It should be used for virtue, humanity and justice, which promotes peace and harmony in society.")</f>
        <v>Religion is a deep spiritual relationship; It should be used for virtue, humanity and justice, which promotes peace and harmony in society.</v>
      </c>
      <c r="D1987" s="2"/>
      <c r="E1987" s="2"/>
      <c r="F1987" s="2"/>
      <c r="G1987" s="2"/>
      <c r="H1987" s="3"/>
      <c r="I1987" s="3"/>
      <c r="J1987" s="3"/>
      <c r="K1987" s="3"/>
      <c r="L1987" s="3"/>
      <c r="M1987" s="3"/>
      <c r="N1987" s="3"/>
      <c r="O1987" s="3"/>
      <c r="P1987" s="3"/>
      <c r="Q1987" s="3"/>
      <c r="R1987" s="3"/>
      <c r="S1987" s="3"/>
      <c r="T1987" s="3"/>
      <c r="U1987" s="3"/>
      <c r="V1987" s="3"/>
      <c r="W1987" s="3"/>
      <c r="X1987" s="3"/>
      <c r="Y1987" s="3"/>
      <c r="Z1987" s="3"/>
    </row>
    <row r="1988" spans="1:26" ht="15.6" x14ac:dyDescent="0.3">
      <c r="A1988" s="18" t="s">
        <v>23</v>
      </c>
      <c r="B1988" s="25" t="s">
        <v>1986</v>
      </c>
      <c r="C1988" s="2" t="str">
        <f ca="1">IFERROR(__xludf.DUMMYFUNCTION("GOOGLETRANSLATE(B1988, ""bn"", ""en"")"),"But if we say something disrespectful in the name of Muhammad (PBUH), he should be punished accordingly. Who agrees with me?")</f>
        <v>But if we say something disrespectful in the name of Muhammad (PBUH), he should be punished accordingly. Who agrees with me?</v>
      </c>
      <c r="D1988" s="2"/>
      <c r="E1988" s="2"/>
      <c r="F1988" s="2"/>
      <c r="G1988" s="2"/>
      <c r="H1988" s="5"/>
      <c r="I1988" s="5"/>
      <c r="J1988" s="5"/>
      <c r="K1988" s="5"/>
      <c r="L1988" s="5"/>
      <c r="M1988" s="5"/>
      <c r="N1988" s="5"/>
      <c r="O1988" s="5"/>
      <c r="P1988" s="5"/>
      <c r="Q1988" s="5"/>
      <c r="R1988" s="5"/>
      <c r="S1988" s="5"/>
      <c r="T1988" s="5"/>
      <c r="U1988" s="5"/>
      <c r="V1988" s="5"/>
      <c r="W1988" s="5"/>
      <c r="X1988" s="5"/>
      <c r="Y1988" s="5"/>
      <c r="Z1988" s="5"/>
    </row>
    <row r="1989" spans="1:26" ht="15.6" x14ac:dyDescent="0.3">
      <c r="A1989" s="18" t="s">
        <v>23</v>
      </c>
      <c r="B1989" s="25" t="s">
        <v>1987</v>
      </c>
      <c r="C1989" s="2" t="str">
        <f ca="1">IFERROR(__xludf.DUMMYFUNCTION("GOOGLETRANSLATE(B1989, ""bn"", ""en"")"),"No true Hindu or Muslim would ever insult the Holy Quran. We need to be vocal about the tactics and next steps of those who have done this.")</f>
        <v>No true Hindu or Muslim would ever insult the Holy Quran. We need to be vocal about the tactics and next steps of those who have done this.</v>
      </c>
      <c r="D1989" s="2"/>
      <c r="E1989" s="2"/>
      <c r="F1989" s="2"/>
      <c r="G1989" s="2"/>
      <c r="H1989" s="5"/>
      <c r="I1989" s="5"/>
      <c r="J1989" s="5"/>
      <c r="K1989" s="5"/>
      <c r="L1989" s="5"/>
      <c r="M1989" s="5"/>
      <c r="N1989" s="5"/>
      <c r="O1989" s="5"/>
      <c r="P1989" s="5"/>
      <c r="Q1989" s="5"/>
      <c r="R1989" s="5"/>
      <c r="S1989" s="5"/>
      <c r="T1989" s="5"/>
      <c r="U1989" s="5"/>
      <c r="V1989" s="5"/>
      <c r="W1989" s="5"/>
      <c r="X1989" s="5"/>
      <c r="Y1989" s="5"/>
      <c r="Z1989" s="5"/>
    </row>
    <row r="1990" spans="1:26" ht="15.6" x14ac:dyDescent="0.3">
      <c r="A1990" s="19" t="s">
        <v>23</v>
      </c>
      <c r="B1990" s="26" t="s">
        <v>1988</v>
      </c>
      <c r="C1990" s="2" t="str">
        <f ca="1">IFERROR(__xludf.DUMMYFUNCTION("GOOGLETRANSLATE(B1990, ""bn"", ""en"")"),"The South Assam Bengali Hindu Association expressed concern over the ongoing attacks on Hindus in a region of the country and appealed to the President of Bangladesh to intervene.")</f>
        <v>The South Assam Bengali Hindu Association expressed concern over the ongoing attacks on Hindus in a region of the country and appealed to the President of Bangladesh to intervene.</v>
      </c>
      <c r="D1990" s="7"/>
      <c r="E1990" s="7"/>
      <c r="F1990" s="7"/>
      <c r="G1990" s="7"/>
      <c r="H1990" s="7"/>
      <c r="I1990" s="7"/>
      <c r="J1990" s="7"/>
      <c r="K1990" s="7"/>
      <c r="L1990" s="7"/>
      <c r="M1990" s="7"/>
      <c r="N1990" s="7"/>
      <c r="O1990" s="5"/>
      <c r="P1990" s="5"/>
      <c r="Q1990" s="5"/>
      <c r="R1990" s="5"/>
      <c r="S1990" s="5"/>
      <c r="T1990" s="5"/>
      <c r="U1990" s="5"/>
      <c r="V1990" s="5"/>
      <c r="W1990" s="5"/>
      <c r="X1990" s="5"/>
      <c r="Y1990" s="5"/>
      <c r="Z1990" s="5"/>
    </row>
    <row r="1991" spans="1:26" ht="15.6" x14ac:dyDescent="0.3">
      <c r="A1991" s="18" t="s">
        <v>5</v>
      </c>
      <c r="B1991" s="25" t="s">
        <v>1989</v>
      </c>
      <c r="C1991" s="2" t="str">
        <f ca="1">IFERROR(__xludf.DUMMYFUNCTION("GOOGLETRANSLATE(B1991, ""bn"", ""en"")"),"Mutual suspicion, mistrust and hatred between the Hindu and Muslim communities reached such incredible levels that the infamous communal massacre in history took place on August 16, 1946.")</f>
        <v>Mutual suspicion, mistrust and hatred between the Hindu and Muslim communities reached such incredible levels that the infamous communal massacre in history took place on August 16, 1946.</v>
      </c>
      <c r="D1991" s="2"/>
      <c r="E1991" s="2"/>
      <c r="F1991" s="2"/>
      <c r="G1991" s="2"/>
      <c r="H1991" s="5"/>
      <c r="I1991" s="5"/>
      <c r="J1991" s="5"/>
      <c r="K1991" s="5"/>
      <c r="L1991" s="5"/>
      <c r="M1991" s="5"/>
      <c r="N1991" s="5"/>
      <c r="O1991" s="5"/>
      <c r="P1991" s="5"/>
      <c r="Q1991" s="5"/>
      <c r="R1991" s="5"/>
      <c r="S1991" s="5"/>
      <c r="T1991" s="5"/>
      <c r="U1991" s="5"/>
      <c r="V1991" s="5"/>
      <c r="W1991" s="5"/>
      <c r="X1991" s="5"/>
      <c r="Y1991" s="5"/>
      <c r="Z1991" s="5"/>
    </row>
    <row r="1992" spans="1:26" ht="15.6" x14ac:dyDescent="0.3">
      <c r="A1992" s="19" t="s">
        <v>5</v>
      </c>
      <c r="B1992" s="26" t="s">
        <v>1990</v>
      </c>
      <c r="C1992" s="2" t="str">
        <f ca="1">IFERROR(__xludf.DUMMYFUNCTION("GOOGLETRANSLATE(B1992, ""bn"", ""en"")"),"After the election, clerics will be accused of attacks, disappearances, murders, tortures, tortures, and arrests.")</f>
        <v>After the election, clerics will be accused of attacks, disappearances, murders, tortures, tortures, and arrests.</v>
      </c>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r="1993" spans="1:26" ht="15.6" x14ac:dyDescent="0.3">
      <c r="A1993" s="18" t="s">
        <v>23</v>
      </c>
      <c r="B1993" s="25" t="s">
        <v>1991</v>
      </c>
      <c r="C1993" s="2" t="str">
        <f ca="1">IFERROR(__xludf.DUMMYFUNCTION("GOOGLETRANSLATE(B1993, ""bn"", ""en"")"),"Built the history of the temple inside the mosque. Made the amended citizenship law and incited religious differences and did vote politics.")</f>
        <v>Built the history of the temple inside the mosque. Made the amended citizenship law and incited religious differences and did vote politics.</v>
      </c>
      <c r="D1993" s="7"/>
      <c r="E1993" s="5"/>
      <c r="F1993" s="5"/>
      <c r="G1993" s="5"/>
      <c r="H1993" s="5"/>
      <c r="I1993" s="5"/>
      <c r="J1993" s="5"/>
      <c r="K1993" s="5"/>
      <c r="L1993" s="5"/>
      <c r="M1993" s="5"/>
      <c r="N1993" s="5"/>
      <c r="O1993" s="5"/>
      <c r="P1993" s="5"/>
      <c r="Q1993" s="5"/>
      <c r="R1993" s="5"/>
      <c r="S1993" s="5"/>
      <c r="T1993" s="5"/>
      <c r="U1993" s="5"/>
      <c r="V1993" s="5"/>
      <c r="W1993" s="5"/>
      <c r="X1993" s="5"/>
      <c r="Y1993" s="5"/>
      <c r="Z1993" s="5"/>
    </row>
    <row r="1994" spans="1:26" ht="15.6" x14ac:dyDescent="0.3">
      <c r="A1994" s="19" t="s">
        <v>23</v>
      </c>
      <c r="B1994" s="26" t="s">
        <v>1992</v>
      </c>
      <c r="C1994" s="2" t="str">
        <f ca="1">IFERROR(__xludf.DUMMYFUNCTION("GOOGLETRANSLATE(B1994, ""bn"", ""en"")"),"The BJP government is making crores of Muslims stateless and second-class citizens through the new citizenship law by imposing Hindutvaism by destroying the secularism of the constitution.")</f>
        <v>The BJP government is making crores of Muslims stateless and second-class citizens through the new citizenship law by imposing Hindutvaism by destroying the secularism of the constitution.</v>
      </c>
      <c r="D1994" s="7"/>
      <c r="E1994" s="7"/>
      <c r="F1994" s="7"/>
      <c r="G1994" s="7"/>
      <c r="H1994" s="7"/>
      <c r="I1994" s="7"/>
      <c r="J1994" s="7"/>
      <c r="K1994" s="7"/>
      <c r="L1994" s="7"/>
      <c r="M1994" s="5"/>
      <c r="N1994" s="5"/>
      <c r="O1994" s="5"/>
      <c r="P1994" s="5"/>
      <c r="Q1994" s="5"/>
      <c r="R1994" s="5"/>
      <c r="S1994" s="5"/>
      <c r="T1994" s="5"/>
      <c r="U1994" s="5"/>
      <c r="V1994" s="5"/>
      <c r="W1994" s="5"/>
      <c r="X1994" s="5"/>
      <c r="Y1994" s="5"/>
      <c r="Z1994" s="5"/>
    </row>
    <row r="1995" spans="1:26" ht="15.6" x14ac:dyDescent="0.3">
      <c r="A1995" s="19" t="s">
        <v>3</v>
      </c>
      <c r="B1995" s="26" t="s">
        <v>1993</v>
      </c>
      <c r="C1995" s="2" t="str">
        <f ca="1">IFERROR(__xludf.DUMMYFUNCTION("GOOGLETRANSLATE(B1995, ""bn"", ""en"")"),"In the teachings of this religion, people are encouraged to maintain purity of heart and fairness in mutual relations.")</f>
        <v>In the teachings of this religion, people are encouraged to maintain purity of heart and fairness in mutual relations.</v>
      </c>
      <c r="D1995" s="7"/>
      <c r="E1995" s="7"/>
      <c r="F1995" s="7"/>
      <c r="G1995" s="5"/>
      <c r="H1995" s="5"/>
      <c r="I1995" s="5"/>
      <c r="J1995" s="5"/>
      <c r="K1995" s="5"/>
      <c r="L1995" s="5"/>
      <c r="M1995" s="5"/>
      <c r="N1995" s="5"/>
      <c r="O1995" s="5"/>
      <c r="P1995" s="5"/>
      <c r="Q1995" s="5"/>
      <c r="R1995" s="5"/>
      <c r="S1995" s="5"/>
      <c r="T1995" s="5"/>
      <c r="U1995" s="5"/>
      <c r="V1995" s="5"/>
      <c r="W1995" s="5"/>
      <c r="X1995" s="5"/>
      <c r="Y1995" s="5"/>
      <c r="Z1995" s="5"/>
    </row>
    <row r="1996" spans="1:26" ht="15.6" x14ac:dyDescent="0.3">
      <c r="A1996" s="18" t="s">
        <v>5</v>
      </c>
      <c r="B1996" s="25" t="s">
        <v>1994</v>
      </c>
      <c r="C1996" s="2" t="str">
        <f ca="1">IFERROR(__xludf.DUMMYFUNCTION("GOOGLETRANSLATE(B1996, ""bn"", ""en"")"),"""Last year a student openly told me that it is perfectly legal to kill someone who disrespects the Prophet,"" Fatiha Agad Moumalat, a Muslim history teacher, told a French radio station on Sunday.")</f>
        <v>"Last year a student openly told me that it is perfectly legal to kill someone who disrespects the Prophet," Fatiha Agad Moumalat, a Muslim history teacher, told a French radio station on Sunday.</v>
      </c>
      <c r="D1996" s="2"/>
      <c r="E1996" s="2"/>
      <c r="F1996" s="2"/>
      <c r="G1996" s="2"/>
      <c r="H1996" s="3"/>
      <c r="I1996" s="3"/>
      <c r="J1996" s="3"/>
      <c r="K1996" s="3"/>
      <c r="L1996" s="3"/>
      <c r="M1996" s="3"/>
      <c r="N1996" s="3"/>
      <c r="O1996" s="3"/>
      <c r="P1996" s="3"/>
      <c r="Q1996" s="3"/>
      <c r="R1996" s="3"/>
      <c r="S1996" s="3"/>
      <c r="T1996" s="3"/>
      <c r="U1996" s="3"/>
      <c r="V1996" s="3"/>
      <c r="W1996" s="3"/>
      <c r="X1996" s="3"/>
      <c r="Y1996" s="3"/>
      <c r="Z1996" s="3"/>
    </row>
    <row r="1997" spans="1:26" ht="15.6" x14ac:dyDescent="0.3">
      <c r="A1997" s="18" t="s">
        <v>5</v>
      </c>
      <c r="B1997" s="25" t="s">
        <v>1995</v>
      </c>
      <c r="C1997" s="2" t="str">
        <f ca="1">IFERROR(__xludf.DUMMYFUNCTION("GOOGLETRANSLATE(B1997, ""bn"", ""en"")"),"This terrible riot started after the previous Rangpur riots. Although the number of casualties in this riot was relatively less than the earlier Rangpur riots and the later Brahmanbaria riots.")</f>
        <v>This terrible riot started after the previous Rangpur riots. Although the number of casualties in this riot was relatively less than the earlier Rangpur riots and the later Brahmanbaria riots.</v>
      </c>
      <c r="D1997" s="2"/>
      <c r="E1997" s="2"/>
      <c r="F1997" s="2"/>
      <c r="G1997" s="2"/>
      <c r="H1997" s="3"/>
      <c r="I1997" s="3"/>
      <c r="J1997" s="3"/>
      <c r="K1997" s="3"/>
      <c r="L1997" s="3"/>
      <c r="M1997" s="3"/>
      <c r="N1997" s="3"/>
      <c r="O1997" s="3"/>
      <c r="P1997" s="3"/>
      <c r="Q1997" s="3"/>
      <c r="R1997" s="3"/>
      <c r="S1997" s="3"/>
      <c r="T1997" s="3"/>
      <c r="U1997" s="3"/>
      <c r="V1997" s="3"/>
      <c r="W1997" s="3"/>
      <c r="X1997" s="3"/>
      <c r="Y1997" s="3"/>
      <c r="Z1997" s="3"/>
    </row>
    <row r="1998" spans="1:26" ht="15.6" x14ac:dyDescent="0.3">
      <c r="A1998" s="19" t="s">
        <v>8</v>
      </c>
      <c r="B1998" s="26" t="s">
        <v>1996</v>
      </c>
      <c r="C1998" s="2" t="str">
        <f ca="1">IFERROR(__xludf.DUMMYFUNCTION("GOOGLETRANSLATE(B1998, ""bn"", ""en"")"),"Some youth broke the lock of the church gate in Lalmonirhat and let the dog inside, later the video of the incident went viral.")</f>
        <v>Some youth broke the lock of the church gate in Lalmonirhat and let the dog inside, later the video of the incident went viral.</v>
      </c>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r="1999" spans="1:26" ht="15.6" x14ac:dyDescent="0.3">
      <c r="A1999" s="18" t="s">
        <v>8</v>
      </c>
      <c r="B1999" s="25" t="s">
        <v>1997</v>
      </c>
      <c r="C1999" s="2" t="str">
        <f ca="1">IFERROR(__xludf.DUMMYFUNCTION("GOOGLETRANSLATE(B1999, ""bn"", ""en"")"),"Shia-Sunni conflict in various Muslim countries often turns into deadly riots.")</f>
        <v>Shia-Sunni conflict in various Muslim countries often turns into deadly riots.</v>
      </c>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r="2000" spans="1:26" ht="15.6" x14ac:dyDescent="0.3">
      <c r="A2000" s="18" t="s">
        <v>5</v>
      </c>
      <c r="B2000" s="24" t="s">
        <v>1998</v>
      </c>
      <c r="C2000" s="2" t="str">
        <f ca="1">IFERROR(__xludf.DUMMYFUNCTION("GOOGLETRANSLATE(B2000, ""bn"", ""en"")"),"At least 38 people were killed in Hindu-Muslim riots in Rangpur. Thousands of people were left homeless as a result of the conflict.")</f>
        <v>At least 38 people were killed in Hindu-Muslim riots in Rangpur. Thousands of people were left homeless as a result of the conflict.</v>
      </c>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r="2001" spans="1:26" ht="15.6" x14ac:dyDescent="0.3">
      <c r="A2001" s="18" t="s">
        <v>3</v>
      </c>
      <c r="B2001" s="25" t="s">
        <v>1999</v>
      </c>
      <c r="C2001" s="2" t="str">
        <f ca="1">IFERROR(__xludf.DUMMYFUNCTION("GOOGLETRANSLATE(B2001, ""bn"", ""en"")"),"If you give priority to the world over the hereafter, you will lose the world along with the hereafter. The world is the harvest field of the Hereafter. Those who do not produce crops in this crop field will lose the Hereafter.")</f>
        <v>If you give priority to the world over the hereafter, you will lose the world along with the hereafter. The world is the harvest field of the Hereafter. Those who do not produce crops in this crop field will lose the Hereafter.</v>
      </c>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r="2002" spans="1:26" ht="15.6" x14ac:dyDescent="0.3">
      <c r="A2002" s="18" t="s">
        <v>23</v>
      </c>
      <c r="B2002" s="25" t="s">
        <v>2000</v>
      </c>
      <c r="C2002" s="2" t="str">
        <f ca="1">IFERROR(__xludf.DUMMYFUNCTION("GOOGLETRANSLATE(B2002, ""bn"", ""en"")"),"Why are people so itchy about religion or religious practices, brother? Life became miserable because of them.")</f>
        <v>Why are people so itchy about religion or religious practices, brother? Life became miserable because of them.</v>
      </c>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r="2003" spans="1:26" ht="15.6" x14ac:dyDescent="0.3">
      <c r="A2003" s="18" t="s">
        <v>5</v>
      </c>
      <c r="B2003" s="25" t="s">
        <v>2001</v>
      </c>
      <c r="C2003" s="2" t="str">
        <f ca="1">IFERROR(__xludf.DUMMYFUNCTION("GOOGLETRANSLATE(B2003, ""bn"", ""en"")"),"Minority community affected again in Jhenaidah. Ranjit and Kuljit opened the shop as usual, suddenly two assailants arrived at the spot on a motorbike. Before realizing anything, they shoot Ranjit and Kuljit and run away.")</f>
        <v>Minority community affected again in Jhenaidah. Ranjit and Kuljit opened the shop as usual, suddenly two assailants arrived at the spot on a motorbike. Before realizing anything, they shoot Ranjit and Kuljit and run away.</v>
      </c>
      <c r="D2003" s="6"/>
      <c r="E2003" s="6"/>
      <c r="F2003" s="6"/>
      <c r="G2003" s="6"/>
      <c r="H2003" s="3"/>
      <c r="I2003" s="3"/>
      <c r="J2003" s="3"/>
      <c r="K2003" s="3"/>
      <c r="L2003" s="3"/>
      <c r="M2003" s="3"/>
      <c r="N2003" s="3"/>
      <c r="O2003" s="3"/>
      <c r="P2003" s="3"/>
      <c r="Q2003" s="3"/>
      <c r="R2003" s="3"/>
      <c r="S2003" s="3"/>
      <c r="T2003" s="3"/>
      <c r="U2003" s="3"/>
      <c r="V2003" s="3"/>
      <c r="W2003" s="3"/>
      <c r="X2003" s="3"/>
      <c r="Y2003" s="3"/>
      <c r="Z2003" s="3"/>
    </row>
    <row r="2004" spans="1:26" ht="15.6" x14ac:dyDescent="0.3">
      <c r="A2004" s="19" t="s">
        <v>8</v>
      </c>
      <c r="B2004" s="26" t="s">
        <v>2002</v>
      </c>
      <c r="C2004" s="2" t="str">
        <f ca="1">IFERROR(__xludf.DUMMYFUNCTION("GOOGLETRANSLATE(B2004, ""bn"", ""en"")"),"In front of the National Press Club on Friday morning, the Bangladesh Jatiya Hindu Mahazot and the Bangladesh Hindu Parishad's separate charters referred to the attack in Shalla as hellish.")</f>
        <v>In front of the National Press Club on Friday morning, the Bangladesh Jatiya Hindu Mahazot and the Bangladesh Hindu Parishad's separate charters referred to the attack in Shalla as hellish.</v>
      </c>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r="2005" spans="1:26" ht="15.6" x14ac:dyDescent="0.3">
      <c r="A2005" s="18" t="s">
        <v>8</v>
      </c>
      <c r="B2005" s="24" t="s">
        <v>2003</v>
      </c>
      <c r="C2005" s="2" t="str">
        <f ca="1">IFERROR(__xludf.DUMMYFUNCTION("GOOGLETRANSLATE(B2005, ""bn"", ""en"")"),"On November 15, 2023, on the last day of Durga Puja in Daulatpur, Manikganj, miscreants entered the mandap and destroyed it before the idol could be sacrificed.")</f>
        <v>On November 15, 2023, on the last day of Durga Puja in Daulatpur, Manikganj, miscreants entered the mandap and destroyed it before the idol could be sacrificed.</v>
      </c>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r="2006" spans="1:26" ht="15.6" x14ac:dyDescent="0.3">
      <c r="A2006" s="19" t="s">
        <v>23</v>
      </c>
      <c r="B2006" s="26" t="s">
        <v>2004</v>
      </c>
      <c r="C2006" s="2" t="str">
        <f ca="1">IFERROR(__xludf.DUMMYFUNCTION("GOOGLETRANSLATE(B2006, ""bn"", ""en"")"),"If you were a believer then you wouldn't have made the video, then you can explain. What people do to get views.")</f>
        <v>If you were a believer then you wouldn't have made the video, then you can explain. What people do to get views.</v>
      </c>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r="2007" spans="1:26" ht="15.6" x14ac:dyDescent="0.3">
      <c r="A2007" s="18" t="s">
        <v>5</v>
      </c>
      <c r="B2007" s="24" t="s">
        <v>2005</v>
      </c>
      <c r="C2007" s="2" t="str">
        <f ca="1">IFERROR(__xludf.DUMMYFUNCTION("GOOGLETRANSLATE(B2007, ""bn"", ""en"")"),"At least 33 people were killed and many injured in Hindu-Muslim clashes in Shariatpur.")</f>
        <v>At least 33 people were killed and many injured in Hindu-Muslim clashes in Shariatpur.</v>
      </c>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r="2008" spans="1:26" ht="15.6" x14ac:dyDescent="0.3">
      <c r="A2008" s="19" t="s">
        <v>3</v>
      </c>
      <c r="B2008" s="26" t="s">
        <v>2006</v>
      </c>
      <c r="C2008" s="2" t="str">
        <f ca="1">IFERROR(__xludf.DUMMYFUNCTION("GOOGLETRANSLATE(B2008, ""bn"", ""en"")"),"Loves Quran and tries to read it with Bengali translation. Listen to the lectures of great scholars, then know what and why Shabarat.")</f>
        <v>Loves Quran and tries to read it with Bengali translation. Listen to the lectures of great scholars, then know what and why Shabarat.</v>
      </c>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r="2009" spans="1:26" ht="15.6" x14ac:dyDescent="0.3">
      <c r="A2009" s="18" t="s">
        <v>23</v>
      </c>
      <c r="B2009" s="25" t="s">
        <v>2007</v>
      </c>
      <c r="C2009" s="2" t="str">
        <f ca="1">IFERROR(__xludf.DUMMYFUNCTION("GOOGLETRANSLATE(B2009, ""bn"", ""en"")"),"Hindus were harassed on false charges and petty charges.")</f>
        <v>Hindus were harassed on false charges and petty charges.</v>
      </c>
      <c r="D2009" s="2"/>
      <c r="E2009" s="2"/>
      <c r="F2009" s="2"/>
      <c r="G2009" s="2"/>
      <c r="H2009" s="3"/>
      <c r="I2009" s="3"/>
      <c r="J2009" s="3"/>
      <c r="K2009" s="3"/>
      <c r="L2009" s="3"/>
      <c r="M2009" s="3"/>
      <c r="N2009" s="3"/>
      <c r="O2009" s="3"/>
      <c r="P2009" s="3"/>
      <c r="Q2009" s="3"/>
      <c r="R2009" s="3"/>
      <c r="S2009" s="3"/>
      <c r="T2009" s="3"/>
      <c r="U2009" s="3"/>
      <c r="V2009" s="3"/>
      <c r="W2009" s="3"/>
      <c r="X2009" s="3"/>
      <c r="Y2009" s="3"/>
      <c r="Z2009" s="3"/>
    </row>
    <row r="2010" spans="1:26" ht="15.6" x14ac:dyDescent="0.3">
      <c r="A2010" s="18" t="s">
        <v>23</v>
      </c>
      <c r="B2010" s="24" t="s">
        <v>2008</v>
      </c>
      <c r="C2010" s="2" t="str">
        <f ca="1">IFERROR(__xludf.DUMMYFUNCTION("GOOGLETRANSLATE(B2010, ""bn"", ""en"")"),"Muslim extremists believe that their religion is superior to other religions, despise other religions and spread violence.")</f>
        <v>Muslim extremists believe that their religion is superior to other religions, despise other religions and spread violence.</v>
      </c>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row r="2011" spans="1:26" ht="15.6" x14ac:dyDescent="0.3">
      <c r="A2011" s="18" t="s">
        <v>3</v>
      </c>
      <c r="B2011" s="24" t="s">
        <v>2009</v>
      </c>
      <c r="C2011" s="2" t="str">
        <f ca="1">IFERROR(__xludf.DUMMYFUNCTION("GOOGLETRANSLATE(B2011, ""bn"", ""en"")"),"When my Christian friends pray in church, I understand that they are asking their Creator for peace and forgiveness just like us.")</f>
        <v>When my Christian friends pray in church, I understand that they are asking their Creator for peace and forgiveness just like us.</v>
      </c>
      <c r="D2011" s="5"/>
      <c r="E2011" s="5"/>
      <c r="F2011" s="5"/>
      <c r="G2011" s="5"/>
      <c r="H2011" s="5"/>
      <c r="I2011" s="5"/>
      <c r="J2011" s="5"/>
      <c r="K2011" s="5"/>
      <c r="L2011" s="5"/>
      <c r="M2011" s="5"/>
      <c r="N2011" s="5"/>
      <c r="O2011" s="5"/>
      <c r="P2011" s="5"/>
      <c r="Q2011" s="5"/>
      <c r="R2011" s="5"/>
      <c r="S2011" s="5"/>
      <c r="T2011" s="5"/>
      <c r="U2011" s="5"/>
      <c r="V2011" s="5"/>
      <c r="W2011" s="5"/>
      <c r="X2011" s="5"/>
      <c r="Y2011" s="5"/>
      <c r="Z2011" s="5"/>
    </row>
    <row r="2012" spans="1:26" ht="15.6" x14ac:dyDescent="0.3">
      <c r="A2012" s="18" t="s">
        <v>3</v>
      </c>
      <c r="B2012" s="24" t="s">
        <v>2010</v>
      </c>
      <c r="C2012" s="2" t="str">
        <f ca="1">IFERROR(__xludf.DUMMYFUNCTION("GOOGLETRANSLATE(B2012, ""bn"", ""en"")"),"The Qur'an says, 'There is no compulsion in religion.' Everyone is given the freedom to believe as they wish.")</f>
        <v>The Qur'an says, 'There is no compulsion in religion.' Everyone is given the freedom to believe as they wish.</v>
      </c>
      <c r="D2012" s="5"/>
      <c r="E2012" s="5"/>
      <c r="F2012" s="5"/>
      <c r="G2012" s="5"/>
      <c r="H2012" s="5"/>
      <c r="I2012" s="5"/>
      <c r="J2012" s="5"/>
      <c r="K2012" s="5"/>
      <c r="L2012" s="5"/>
      <c r="M2012" s="5"/>
      <c r="N2012" s="5"/>
      <c r="O2012" s="5"/>
      <c r="P2012" s="5"/>
      <c r="Q2012" s="5"/>
      <c r="R2012" s="5"/>
      <c r="S2012" s="5"/>
      <c r="T2012" s="5"/>
      <c r="U2012" s="5"/>
      <c r="V2012" s="5"/>
      <c r="W2012" s="5"/>
      <c r="X2012" s="5"/>
      <c r="Y2012" s="5"/>
      <c r="Z2012" s="5"/>
    </row>
    <row r="2013" spans="1:26" ht="15.6" x14ac:dyDescent="0.3">
      <c r="A2013" s="19" t="s">
        <v>5</v>
      </c>
      <c r="B2013" s="26" t="s">
        <v>2011</v>
      </c>
      <c r="C2013" s="2" t="str">
        <f ca="1">IFERROR(__xludf.DUMMYFUNCTION("GOOGLETRANSLATE(B2013, ""bn"", ""en"")"),"They were taken to the outskirts, near Murad Nagar in Ghaziabad district, where they were shot and their bodies dumped in a canal. A few days later the bodies were found floating in the canals.")</f>
        <v>They were taken to the outskirts, near Murad Nagar in Ghaziabad district, where they were shot and their bodies dumped in a canal. A few days later the bodies were found floating in the canals.</v>
      </c>
      <c r="D2013" s="5"/>
      <c r="E2013" s="5"/>
      <c r="F2013" s="5"/>
      <c r="G2013" s="5"/>
      <c r="H2013" s="5"/>
      <c r="I2013" s="5"/>
      <c r="J2013" s="5"/>
      <c r="K2013" s="5"/>
      <c r="L2013" s="5"/>
      <c r="M2013" s="5"/>
      <c r="N2013" s="5"/>
      <c r="O2013" s="5"/>
      <c r="P2013" s="5"/>
      <c r="Q2013" s="5"/>
      <c r="R2013" s="5"/>
      <c r="S2013" s="5"/>
      <c r="T2013" s="5"/>
      <c r="U2013" s="5"/>
      <c r="V2013" s="5"/>
      <c r="W2013" s="5"/>
      <c r="X2013" s="5"/>
      <c r="Y2013" s="5"/>
      <c r="Z2013" s="5"/>
    </row>
    <row r="2014" spans="1:26" ht="15.6" x14ac:dyDescent="0.3">
      <c r="A2014" s="19" t="s">
        <v>3</v>
      </c>
      <c r="B2014" s="26" t="s">
        <v>2012</v>
      </c>
      <c r="C2014" s="2" t="str">
        <f ca="1">IFERROR(__xludf.DUMMYFUNCTION("GOOGLETRANSLATE(B2014, ""bn"", ""en"")"),"Those who obey Allah's commands, they achieve success in this world and the Hereafter, because Allah guides them to the right path.")</f>
        <v>Those who obey Allah's commands, they achieve success in this world and the Hereafter, because Allah guides them to the right path.</v>
      </c>
      <c r="D2014" s="5"/>
      <c r="E2014" s="5"/>
      <c r="F2014" s="5"/>
      <c r="G2014" s="5"/>
      <c r="H2014" s="5"/>
      <c r="I2014" s="5"/>
      <c r="J2014" s="5"/>
      <c r="K2014" s="5"/>
      <c r="L2014" s="5"/>
      <c r="M2014" s="5"/>
      <c r="N2014" s="5"/>
      <c r="O2014" s="5"/>
      <c r="P2014" s="5"/>
      <c r="Q2014" s="5"/>
      <c r="R2014" s="5"/>
      <c r="S2014" s="5"/>
      <c r="T2014" s="5"/>
      <c r="U2014" s="5"/>
      <c r="V2014" s="5"/>
      <c r="W2014" s="5"/>
      <c r="X2014" s="5"/>
      <c r="Y2014" s="5"/>
      <c r="Z2014" s="5"/>
    </row>
    <row r="2015" spans="1:26" ht="15.6" x14ac:dyDescent="0.3">
      <c r="A2015" s="19" t="s">
        <v>8</v>
      </c>
      <c r="B2015" s="26" t="s">
        <v>2013</v>
      </c>
      <c r="C2015" s="2" t="str">
        <f ca="1">IFERROR(__xludf.DUMMYFUNCTION("GOOGLETRANSLATE(B2015, ""bn"", ""en"")"),"In the early hours of March 2, a temple in Chapainawabganj Shivganj was set on fire by unidentified visitors and part of the temple was burnt.")</f>
        <v>In the early hours of March 2, a temple in Chapainawabganj Shivganj was set on fire by unidentified visitors and part of the temple was burnt.</v>
      </c>
      <c r="D2015" s="7"/>
      <c r="E2015" s="7"/>
      <c r="F2015" s="7"/>
      <c r="G2015" s="5"/>
      <c r="H2015" s="5"/>
      <c r="I2015" s="5"/>
      <c r="J2015" s="5"/>
      <c r="K2015" s="5"/>
      <c r="L2015" s="5"/>
      <c r="M2015" s="5"/>
      <c r="N2015" s="5"/>
      <c r="O2015" s="5"/>
      <c r="P2015" s="5"/>
      <c r="Q2015" s="5"/>
      <c r="R2015" s="5"/>
      <c r="S2015" s="5"/>
      <c r="T2015" s="5"/>
      <c r="U2015" s="5"/>
      <c r="V2015" s="5"/>
      <c r="W2015" s="5"/>
      <c r="X2015" s="5"/>
      <c r="Y2015" s="5"/>
      <c r="Z2015" s="5"/>
    </row>
    <row r="2016" spans="1:26" ht="15.6" x14ac:dyDescent="0.3">
      <c r="A2016" s="18" t="s">
        <v>3</v>
      </c>
      <c r="B2016" s="25" t="s">
        <v>2014</v>
      </c>
      <c r="C2016" s="2" t="str">
        <f ca="1">IFERROR(__xludf.DUMMYFUNCTION("GOOGLETRANSLATE(B2016, ""bn"", ""en"")"),"It is He who has sent His Messenger with guidance and truth, so that He may make it victorious over all religions.")</f>
        <v>It is He who has sent His Messenger with guidance and truth, so that He may make it victorious over all religions.</v>
      </c>
      <c r="D2016" s="2"/>
      <c r="E2016" s="2"/>
      <c r="F2016" s="2"/>
      <c r="G2016" s="2"/>
      <c r="H2016" s="3"/>
      <c r="I2016" s="3"/>
      <c r="J2016" s="3"/>
      <c r="K2016" s="3"/>
      <c r="L2016" s="3"/>
      <c r="M2016" s="3"/>
      <c r="N2016" s="3"/>
      <c r="O2016" s="3"/>
      <c r="P2016" s="3"/>
      <c r="Q2016" s="3"/>
      <c r="R2016" s="3"/>
      <c r="S2016" s="3"/>
      <c r="T2016" s="3"/>
      <c r="U2016" s="3"/>
      <c r="V2016" s="3"/>
      <c r="W2016" s="3"/>
      <c r="X2016" s="3"/>
      <c r="Y2016" s="3"/>
      <c r="Z2016" s="3"/>
    </row>
    <row r="2017" spans="1:26" ht="15.6" x14ac:dyDescent="0.3">
      <c r="A2017" s="18" t="s">
        <v>8</v>
      </c>
      <c r="B2017" s="24" t="s">
        <v>2015</v>
      </c>
      <c r="C2017" s="2" t="str">
        <f ca="1">IFERROR(__xludf.DUMMYFUNCTION("GOOGLETRANSLATE(B2017, ""bn"", ""en"")"),"On 2 February 2025, a metal idol was broken and thrown into a nearby pond at the Mansa Temple in Mithapukur, Rangpur.")</f>
        <v>On 2 February 2025, a metal idol was broken and thrown into a nearby pond at the Mansa Temple in Mithapukur, Rangpur.</v>
      </c>
      <c r="D2017" s="5"/>
      <c r="E2017" s="5"/>
      <c r="F2017" s="5"/>
      <c r="G2017" s="5"/>
      <c r="H2017" s="5"/>
      <c r="I2017" s="5"/>
      <c r="J2017" s="5"/>
      <c r="K2017" s="5"/>
      <c r="L2017" s="5"/>
      <c r="M2017" s="5"/>
      <c r="N2017" s="5"/>
      <c r="O2017" s="5"/>
      <c r="P2017" s="5"/>
      <c r="Q2017" s="5"/>
      <c r="R2017" s="5"/>
      <c r="S2017" s="5"/>
      <c r="T2017" s="5"/>
      <c r="U2017" s="5"/>
      <c r="V2017" s="5"/>
      <c r="W2017" s="5"/>
      <c r="X2017" s="5"/>
      <c r="Y2017" s="5"/>
      <c r="Z2017" s="5"/>
    </row>
    <row r="2018" spans="1:26" ht="15.6" x14ac:dyDescent="0.3">
      <c r="A2018" s="19" t="s">
        <v>5</v>
      </c>
      <c r="B2018" s="26" t="s">
        <v>2016</v>
      </c>
      <c r="C2018" s="2" t="str">
        <f ca="1">IFERROR(__xludf.DUMMYFUNCTION("GOOGLETRANSLATE(B2018, ""bn"", ""en"")"),"From January 1 to December 29, 2016, 98 Hindus were killed across the country. 1009 people have been threatened with death. Attempts have been made to kill 18 people. There were 26 cases of rape.")</f>
        <v>From January 1 to December 29, 2016, 98 Hindus were killed across the country. 1009 people have been threatened with death. Attempts have been made to kill 18 people. There were 26 cases of rape.</v>
      </c>
      <c r="D2018" s="5"/>
      <c r="E2018" s="5"/>
      <c r="F2018" s="5"/>
      <c r="G2018" s="5"/>
      <c r="H2018" s="5"/>
      <c r="I2018" s="5"/>
      <c r="J2018" s="5"/>
      <c r="K2018" s="5"/>
      <c r="L2018" s="5"/>
      <c r="M2018" s="5"/>
      <c r="N2018" s="5"/>
      <c r="O2018" s="5"/>
      <c r="P2018" s="5"/>
      <c r="Q2018" s="5"/>
      <c r="R2018" s="5"/>
      <c r="S2018" s="5"/>
      <c r="T2018" s="5"/>
      <c r="U2018" s="5"/>
      <c r="V2018" s="5"/>
      <c r="W2018" s="5"/>
      <c r="X2018" s="5"/>
      <c r="Y2018" s="5"/>
      <c r="Z2018" s="5"/>
    </row>
    <row r="2019" spans="1:26" ht="15.6" x14ac:dyDescent="0.3">
      <c r="A2019" s="19" t="s">
        <v>23</v>
      </c>
      <c r="B2019" s="26" t="s">
        <v>2017</v>
      </c>
      <c r="C2019" s="2" t="str">
        <f ca="1">IFERROR(__xludf.DUMMYFUNCTION("GOOGLETRANSLATE(B2019, ""bn"", ""en"")"),"The people of the Muslim world must understand the cause of the unrest in Bangladesh; War brings only hell and destruction.")</f>
        <v>The people of the Muslim world must understand the cause of the unrest in Bangladesh; War brings only hell and destruction.</v>
      </c>
      <c r="D2019" s="7"/>
      <c r="E2019" s="7"/>
      <c r="F2019" s="7"/>
      <c r="G2019" s="5"/>
      <c r="H2019" s="5"/>
      <c r="I2019" s="5"/>
      <c r="J2019" s="5"/>
      <c r="K2019" s="5"/>
      <c r="L2019" s="5"/>
      <c r="M2019" s="5"/>
      <c r="N2019" s="5"/>
      <c r="O2019" s="5"/>
      <c r="P2019" s="5"/>
      <c r="Q2019" s="5"/>
      <c r="R2019" s="5"/>
      <c r="S2019" s="5"/>
      <c r="T2019" s="5"/>
      <c r="U2019" s="5"/>
      <c r="V2019" s="5"/>
      <c r="W2019" s="5"/>
      <c r="X2019" s="5"/>
      <c r="Y2019" s="5"/>
      <c r="Z2019" s="5"/>
    </row>
    <row r="2020" spans="1:26" ht="15.6" x14ac:dyDescent="0.3">
      <c r="A2020" s="19" t="s">
        <v>8</v>
      </c>
      <c r="B2020" s="26" t="s">
        <v>2018</v>
      </c>
      <c r="C2020" s="2" t="str">
        <f ca="1">IFERROR(__xludf.DUMMYFUNCTION("GOOGLETRANSLATE(B2020, ""bn"", ""en"")"),"Law enforcement forces clash with protestors against desecration of Holy Quran.")</f>
        <v>Law enforcement forces clash with protestors against desecration of Holy Quran.</v>
      </c>
      <c r="D2020" s="5"/>
      <c r="E2020" s="5"/>
      <c r="F2020" s="5"/>
      <c r="G2020" s="5"/>
      <c r="H2020" s="5"/>
      <c r="I2020" s="5"/>
      <c r="J2020" s="5"/>
      <c r="K2020" s="5"/>
      <c r="L2020" s="5"/>
      <c r="M2020" s="5"/>
      <c r="N2020" s="5"/>
      <c r="O2020" s="5"/>
      <c r="P2020" s="5"/>
      <c r="Q2020" s="5"/>
      <c r="R2020" s="5"/>
      <c r="S2020" s="5"/>
      <c r="T2020" s="5"/>
      <c r="U2020" s="5"/>
      <c r="V2020" s="5"/>
      <c r="W2020" s="5"/>
      <c r="X2020" s="5"/>
      <c r="Y2020" s="5"/>
      <c r="Z2020" s="5"/>
    </row>
    <row r="2021" spans="1:26" ht="15.6" x14ac:dyDescent="0.3">
      <c r="A2021" s="18" t="s">
        <v>3</v>
      </c>
      <c r="B2021" s="25" t="s">
        <v>2019</v>
      </c>
      <c r="C2021" s="2" t="str">
        <f ca="1">IFERROR(__xludf.DUMMYFUNCTION("GOOGLETRANSLATE(B2021, ""bn"", ""en"")"),"The guardian of the Qur'an is Allah Almighty, who is the sole judge of all the worlds. O Allah, save us, Amen.")</f>
        <v>The guardian of the Qur'an is Allah Almighty, who is the sole judge of all the worlds. O Allah, save us, Amen.</v>
      </c>
      <c r="D2021" s="2"/>
      <c r="E2021" s="2"/>
      <c r="F2021" s="2"/>
      <c r="G2021" s="2"/>
      <c r="H2021" s="5"/>
      <c r="I2021" s="5"/>
      <c r="J2021" s="5"/>
      <c r="K2021" s="5"/>
      <c r="L2021" s="5"/>
      <c r="M2021" s="5"/>
      <c r="N2021" s="5"/>
      <c r="O2021" s="5"/>
      <c r="P2021" s="5"/>
      <c r="Q2021" s="5"/>
      <c r="R2021" s="5"/>
      <c r="S2021" s="5"/>
      <c r="T2021" s="5"/>
      <c r="U2021" s="5"/>
      <c r="V2021" s="5"/>
      <c r="W2021" s="5"/>
      <c r="X2021" s="5"/>
      <c r="Y2021" s="5"/>
      <c r="Z2021" s="5"/>
    </row>
    <row r="2022" spans="1:26" ht="15.6" x14ac:dyDescent="0.3">
      <c r="A2022" s="18" t="s">
        <v>8</v>
      </c>
      <c r="B2022" s="25" t="s">
        <v>2020</v>
      </c>
      <c r="C2022" s="2" t="str">
        <f ca="1">IFERROR(__xludf.DUMMYFUNCTION("GOOGLETRANSLATE(B2022, ""bn"", ""en"")"),"The burnt ruins of Govinda Restaurant in Subha. On May 19, more than 100 Hindu shops and businesses were vandalized in the central business district of Suva.")</f>
        <v>The burnt ruins of Govinda Restaurant in Subha. On May 19, more than 100 Hindu shops and businesses were vandalized in the central business district of Suva.</v>
      </c>
      <c r="D2022" s="5"/>
      <c r="E2022" s="5"/>
      <c r="F2022" s="5"/>
      <c r="G2022" s="5"/>
      <c r="H2022" s="5"/>
      <c r="I2022" s="5"/>
      <c r="J2022" s="5"/>
      <c r="K2022" s="5"/>
      <c r="L2022" s="5"/>
      <c r="M2022" s="5"/>
      <c r="N2022" s="5"/>
      <c r="O2022" s="5"/>
      <c r="P2022" s="5"/>
      <c r="Q2022" s="5"/>
      <c r="R2022" s="5"/>
      <c r="S2022" s="5"/>
      <c r="T2022" s="5"/>
      <c r="U2022" s="5"/>
      <c r="V2022" s="5"/>
      <c r="W2022" s="5"/>
      <c r="X2022" s="5"/>
      <c r="Y2022" s="5"/>
      <c r="Z2022" s="5"/>
    </row>
    <row r="2023" spans="1:26" ht="15.6" x14ac:dyDescent="0.3">
      <c r="A2023" s="18" t="s">
        <v>8</v>
      </c>
      <c r="B2023" s="24" t="s">
        <v>2021</v>
      </c>
      <c r="C2023" s="2" t="str">
        <f ca="1">IFERROR(__xludf.DUMMYFUNCTION("GOOGLETRANSLATE(B2023, ""bn"", ""en"")"),"On 4 July 2023, an idol was being prepared at a Kali temple in Chakria, Cox's Bazar, when some persons came and broke the head and hands of the idol and splashed mud on the main door of the temple.")</f>
        <v>On 4 July 2023, an idol was being prepared at a Kali temple in Chakria, Cox's Bazar, when some persons came and broke the head and hands of the idol and splashed mud on the main door of the temple.</v>
      </c>
      <c r="D2023" s="5"/>
      <c r="E2023" s="5"/>
      <c r="F2023" s="5"/>
      <c r="G2023" s="5"/>
      <c r="H2023" s="5"/>
      <c r="I2023" s="5"/>
      <c r="J2023" s="5"/>
      <c r="K2023" s="5"/>
      <c r="L2023" s="5"/>
      <c r="M2023" s="5"/>
      <c r="N2023" s="5"/>
      <c r="O2023" s="5"/>
      <c r="P2023" s="5"/>
      <c r="Q2023" s="5"/>
      <c r="R2023" s="5"/>
      <c r="S2023" s="5"/>
      <c r="T2023" s="5"/>
      <c r="U2023" s="5"/>
      <c r="V2023" s="5"/>
      <c r="W2023" s="5"/>
      <c r="X2023" s="5"/>
      <c r="Y2023" s="5"/>
      <c r="Z2023" s="5"/>
    </row>
    <row r="2024" spans="1:26" ht="15.6" x14ac:dyDescent="0.3">
      <c r="A2024" s="19" t="s">
        <v>23</v>
      </c>
      <c r="B2024" s="26" t="s">
        <v>2022</v>
      </c>
      <c r="C2024" s="2" t="str">
        <f ca="1">IFERROR(__xludf.DUMMYFUNCTION("GOOGLETRANSLATE(B2024, ""bn"", ""en"")"),"What do you think of the Muslim community? Is this God's will, the religious common people should leave their homes in fear and die in pain?")</f>
        <v>What do you think of the Muslim community? Is this God's will, the religious common people should leave their homes in fear and die in pain?</v>
      </c>
      <c r="D2024" s="5"/>
      <c r="E2024" s="5"/>
      <c r="F2024" s="5"/>
      <c r="G2024" s="5"/>
      <c r="H2024" s="5"/>
      <c r="I2024" s="5"/>
      <c r="J2024" s="5"/>
      <c r="K2024" s="5"/>
      <c r="L2024" s="5"/>
      <c r="M2024" s="5"/>
      <c r="N2024" s="5"/>
      <c r="O2024" s="5"/>
      <c r="P2024" s="5"/>
      <c r="Q2024" s="5"/>
      <c r="R2024" s="5"/>
      <c r="S2024" s="5"/>
      <c r="T2024" s="5"/>
      <c r="U2024" s="5"/>
      <c r="V2024" s="5"/>
      <c r="W2024" s="5"/>
      <c r="X2024" s="5"/>
      <c r="Y2024" s="5"/>
      <c r="Z2024" s="5"/>
    </row>
    <row r="2025" spans="1:26" ht="15.6" x14ac:dyDescent="0.3">
      <c r="A2025" s="18" t="s">
        <v>3</v>
      </c>
      <c r="B2025" s="25" t="s">
        <v>2023</v>
      </c>
      <c r="C2025" s="2" t="str">
        <f ca="1">IFERROR(__xludf.DUMMYFUNCTION("GOOGLETRANSLATE(B2025, ""bn"", ""en"")"),"Bengali-speaking Baruas are Buddhists who are concentrated almost exclusively in the Chittagong area and also live in other parts of Bangladesh such as Comilla, Mymensingh, Rangpur, Sylhet districts.")</f>
        <v>Bengali-speaking Baruas are Buddhists who are concentrated almost exclusively in the Chittagong area and also live in other parts of Bangladesh such as Comilla, Mymensingh, Rangpur, Sylhet districts.</v>
      </c>
      <c r="D2025" s="7"/>
      <c r="E2025" s="7"/>
      <c r="F2025" s="7"/>
      <c r="G2025" s="7"/>
      <c r="H2025" s="7"/>
      <c r="I2025" s="7"/>
      <c r="J2025" s="7"/>
      <c r="K2025" s="7"/>
      <c r="L2025" s="7"/>
      <c r="M2025" s="7"/>
      <c r="N2025" s="7"/>
      <c r="O2025" s="7"/>
      <c r="P2025" s="7"/>
      <c r="Q2025" s="7"/>
      <c r="R2025" s="7"/>
      <c r="S2025" s="7"/>
      <c r="T2025" s="7"/>
      <c r="U2025" s="7"/>
      <c r="V2025" s="7"/>
      <c r="W2025" s="7"/>
      <c r="X2025" s="7"/>
      <c r="Y2025" s="7"/>
      <c r="Z2025" s="7"/>
    </row>
    <row r="2026" spans="1:26" ht="15.6" x14ac:dyDescent="0.3">
      <c r="A2026" s="18" t="s">
        <v>23</v>
      </c>
      <c r="B2026" s="25" t="s">
        <v>2024</v>
      </c>
      <c r="C2026" s="2" t="str">
        <f ca="1">IFERROR(__xludf.DUMMYFUNCTION("GOOGLETRANSLATE(B2026, ""bn"", ""en"")"),"Today it is an insult to Islam to show respect to some heathens in the name of faith.")</f>
        <v>Today it is an insult to Islam to show respect to some heathens in the name of faith.</v>
      </c>
      <c r="D2026" s="5"/>
      <c r="E2026" s="5"/>
      <c r="F2026" s="5"/>
      <c r="G2026" s="5"/>
      <c r="H2026" s="5"/>
      <c r="I2026" s="5"/>
      <c r="J2026" s="5"/>
      <c r="K2026" s="5"/>
      <c r="L2026" s="5"/>
      <c r="M2026" s="5"/>
      <c r="N2026" s="5"/>
      <c r="O2026" s="5"/>
      <c r="P2026" s="5"/>
      <c r="Q2026" s="5"/>
      <c r="R2026" s="5"/>
      <c r="S2026" s="5"/>
      <c r="T2026" s="5"/>
      <c r="U2026" s="5"/>
      <c r="V2026" s="5"/>
      <c r="W2026" s="5"/>
      <c r="X2026" s="5"/>
      <c r="Y2026" s="5"/>
      <c r="Z2026" s="5"/>
    </row>
    <row r="2027" spans="1:26" ht="15.6" x14ac:dyDescent="0.3">
      <c r="A2027" s="19" t="s">
        <v>3</v>
      </c>
      <c r="B2027" s="26" t="s">
        <v>2025</v>
      </c>
      <c r="C2027" s="2" t="str">
        <f ca="1">IFERROR(__xludf.DUMMYFUNCTION("GOOGLETRANSLATE(B2027, ""bn"", ""en"")"),"The Battle of Badr was the first major military engagement, in which well-organized Muslims defeated the Meccan forces. The main antagonist Abu Jahl was killed.")</f>
        <v>The Battle of Badr was the first major military engagement, in which well-organized Muslims defeated the Meccan forces. The main antagonist Abu Jahl was killed.</v>
      </c>
      <c r="D2027" s="7"/>
      <c r="E2027" s="7"/>
      <c r="F2027" s="7"/>
      <c r="G2027" s="7"/>
      <c r="H2027" s="7"/>
      <c r="I2027" s="7"/>
      <c r="J2027" s="7"/>
      <c r="K2027" s="5"/>
      <c r="L2027" s="5"/>
      <c r="M2027" s="5"/>
      <c r="N2027" s="5"/>
      <c r="O2027" s="5"/>
      <c r="P2027" s="5"/>
      <c r="Q2027" s="5"/>
      <c r="R2027" s="5"/>
      <c r="S2027" s="5"/>
      <c r="T2027" s="5"/>
      <c r="U2027" s="5"/>
      <c r="V2027" s="5"/>
      <c r="W2027" s="5"/>
      <c r="X2027" s="5"/>
      <c r="Y2027" s="5"/>
      <c r="Z2027" s="5"/>
    </row>
    <row r="2028" spans="1:26" ht="15.6" x14ac:dyDescent="0.3">
      <c r="A2028" s="19" t="s">
        <v>8</v>
      </c>
      <c r="B2028" s="26" t="s">
        <v>2026</v>
      </c>
      <c r="C2028" s="2" t="str">
        <f ca="1">IFERROR(__xludf.DUMMYFUNCTION("GOOGLETRANSLATE(B2028, ""bn"", ""en"")"),"According to the police, Jamaat-Shibir leaders Lutfar Rahman, Saiful Islam and Rabiul Hasan played a key role in vandalizing the temple by tricking the garment workers into the streets following the incident in Comilla.")</f>
        <v>According to the police, Jamaat-Shibir leaders Lutfar Rahman, Saiful Islam and Rabiul Hasan played a key role in vandalizing the temple by tricking the garment workers into the streets following the incident in Comilla.</v>
      </c>
      <c r="D2028" s="7"/>
      <c r="E2028" s="7"/>
      <c r="F2028" s="7"/>
      <c r="G2028" s="7"/>
      <c r="H2028" s="7"/>
      <c r="I2028" s="7"/>
      <c r="J2028" s="7"/>
      <c r="K2028" s="7"/>
      <c r="L2028" s="7"/>
      <c r="M2028" s="7"/>
      <c r="N2028" s="7"/>
      <c r="O2028" s="7"/>
      <c r="P2028" s="5"/>
      <c r="Q2028" s="5"/>
      <c r="R2028" s="5"/>
      <c r="S2028" s="5"/>
      <c r="T2028" s="5"/>
      <c r="U2028" s="5"/>
      <c r="V2028" s="5"/>
      <c r="W2028" s="5"/>
      <c r="X2028" s="5"/>
      <c r="Y2028" s="5"/>
      <c r="Z2028" s="5"/>
    </row>
    <row r="2029" spans="1:26" ht="15.6" x14ac:dyDescent="0.3">
      <c r="A2029" s="18" t="s">
        <v>5</v>
      </c>
      <c r="B2029" s="24" t="s">
        <v>2027</v>
      </c>
      <c r="C2029" s="2" t="str">
        <f ca="1">IFERROR(__xludf.DUMMYFUNCTION("GOOGLETRANSLATE(B2029, ""bn"", ""en"")"),"In December 2018, a Muslim professor was dismissed from the university for religious differences; Police opened fire on the protest, killing 21 people.")</f>
        <v>In December 2018, a Muslim professor was dismissed from the university for religious differences; Police opened fire on the protest, killing 21 people.</v>
      </c>
      <c r="D2029" s="5"/>
      <c r="E2029" s="5"/>
      <c r="F2029" s="5"/>
      <c r="G2029" s="5"/>
      <c r="H2029" s="5"/>
      <c r="I2029" s="5"/>
      <c r="J2029" s="5"/>
      <c r="K2029" s="5"/>
      <c r="L2029" s="5"/>
      <c r="M2029" s="5"/>
      <c r="N2029" s="5"/>
      <c r="O2029" s="5"/>
      <c r="P2029" s="5"/>
      <c r="Q2029" s="5"/>
      <c r="R2029" s="5"/>
      <c r="S2029" s="5"/>
      <c r="T2029" s="5"/>
      <c r="U2029" s="5"/>
      <c r="V2029" s="5"/>
      <c r="W2029" s="5"/>
      <c r="X2029" s="5"/>
      <c r="Y2029" s="5"/>
      <c r="Z2029" s="5"/>
    </row>
    <row r="2030" spans="1:26" ht="15.6" x14ac:dyDescent="0.3">
      <c r="A2030" s="19" t="s">
        <v>8</v>
      </c>
      <c r="B2030" s="26" t="s">
        <v>2028</v>
      </c>
      <c r="C2030" s="2" t="str">
        <f ca="1">IFERROR(__xludf.DUMMYFUNCTION("GOOGLETRANSLATE(B2030, ""bn"", ""en"")"),"After the violence in Comilla, attackers vandalized central temples in Hajiganj in Chandpur, Banshkhali in Chittagong, Pekuate in Cox's Bazar and Lamay in Bandarban. [11] Tensions spread in at least 15 districts when the issue of desecration of the Quran "&amp;"went viral on social media.")</f>
        <v>After the violence in Comilla, attackers vandalized central temples in Hajiganj in Chandpur, Banshkhali in Chittagong, Pekuate in Cox's Bazar and Lamay in Bandarban. [11] Tensions spread in at least 15 districts when the issue of desecration of the Quran went viral on social media.</v>
      </c>
      <c r="D2030" s="7"/>
      <c r="E2030" s="7"/>
      <c r="F2030" s="5"/>
      <c r="G2030" s="5"/>
      <c r="H2030" s="5"/>
      <c r="I2030" s="5"/>
      <c r="J2030" s="5"/>
      <c r="K2030" s="5"/>
      <c r="L2030" s="5"/>
      <c r="M2030" s="5"/>
      <c r="N2030" s="5"/>
      <c r="O2030" s="5"/>
      <c r="P2030" s="5"/>
      <c r="Q2030" s="5"/>
      <c r="R2030" s="5"/>
      <c r="S2030" s="5"/>
      <c r="T2030" s="5"/>
      <c r="U2030" s="5"/>
      <c r="V2030" s="5"/>
      <c r="W2030" s="5"/>
      <c r="X2030" s="5"/>
      <c r="Y2030" s="5"/>
      <c r="Z2030" s="5"/>
    </row>
    <row r="2031" spans="1:26" ht="15.6" x14ac:dyDescent="0.3">
      <c r="A2031" s="19" t="s">
        <v>3</v>
      </c>
      <c r="B2031" s="26" t="s">
        <v>2029</v>
      </c>
      <c r="C2031" s="2" t="str">
        <f ca="1">IFERROR(__xludf.DUMMYFUNCTION("GOOGLETRANSLATE(B2031, ""bn"", ""en"")"),"I urge everyone to practice their religion with devotion. Earlier there was discrimination in government jobs, now it is not.")</f>
        <v>I urge everyone to practice their religion with devotion. Earlier there was discrimination in government jobs, now it is not.</v>
      </c>
      <c r="D2031" s="7"/>
      <c r="E2031" s="7"/>
      <c r="F2031" s="7"/>
      <c r="G2031" s="7"/>
      <c r="H2031" s="5"/>
      <c r="I2031" s="5"/>
      <c r="J2031" s="5"/>
      <c r="K2031" s="5"/>
      <c r="L2031" s="5"/>
      <c r="M2031" s="5"/>
      <c r="N2031" s="5"/>
      <c r="O2031" s="5"/>
      <c r="P2031" s="5"/>
      <c r="Q2031" s="5"/>
      <c r="R2031" s="5"/>
      <c r="S2031" s="5"/>
      <c r="T2031" s="5"/>
      <c r="U2031" s="5"/>
      <c r="V2031" s="5"/>
      <c r="W2031" s="5"/>
      <c r="X2031" s="5"/>
      <c r="Y2031" s="5"/>
      <c r="Z2031" s="5"/>
    </row>
    <row r="2032" spans="1:26" ht="15.6" x14ac:dyDescent="0.3">
      <c r="A2032" s="19" t="s">
        <v>23</v>
      </c>
      <c r="B2032" s="26" t="s">
        <v>2030</v>
      </c>
      <c r="C2032" s="2" t="str">
        <f ca="1">IFERROR(__xludf.DUMMYFUNCTION("GOOGLETRANSLATE(B2032, ""bn"", ""en"")"),"Let this Kulangar be severely punished, our Prophet is the last Prophet, I am the Ummah of that Prophet, about my beloved Prophet and about Islam, whoever speaks bad things like this Kulangar will be brought under the law and given severe punishment.")</f>
        <v>Let this Kulangar be severely punished, our Prophet is the last Prophet, I am the Ummah of that Prophet, about my beloved Prophet and about Islam, whoever speaks bad things like this Kulangar will be brought under the law and given severe punishment.</v>
      </c>
      <c r="D2032" s="5"/>
      <c r="E2032" s="5"/>
      <c r="F2032" s="5"/>
      <c r="G2032" s="5"/>
      <c r="H2032" s="5"/>
      <c r="I2032" s="5"/>
      <c r="J2032" s="5"/>
      <c r="K2032" s="5"/>
      <c r="L2032" s="5"/>
      <c r="M2032" s="5"/>
      <c r="N2032" s="5"/>
      <c r="O2032" s="5"/>
      <c r="P2032" s="5"/>
      <c r="Q2032" s="5"/>
      <c r="R2032" s="5"/>
      <c r="S2032" s="5"/>
      <c r="T2032" s="5"/>
      <c r="U2032" s="5"/>
      <c r="V2032" s="5"/>
      <c r="W2032" s="5"/>
      <c r="X2032" s="5"/>
      <c r="Y2032" s="5"/>
      <c r="Z2032" s="5"/>
    </row>
    <row r="2033" spans="1:26" ht="15.6" x14ac:dyDescent="0.3">
      <c r="A2033" s="19" t="s">
        <v>5</v>
      </c>
      <c r="B2033" s="26" t="s">
        <v>2031</v>
      </c>
      <c r="C2033" s="2" t="str">
        <f ca="1">IFERROR(__xludf.DUMMYFUNCTION("GOOGLETRANSLATE(B2033, ""bn"", ""en"")"),"No religion in the world supports suicide.")</f>
        <v>No religion in the world supports suicide.</v>
      </c>
      <c r="D2033" s="5"/>
      <c r="E2033" s="5"/>
      <c r="F2033" s="5"/>
      <c r="G2033" s="5"/>
      <c r="H2033" s="5"/>
      <c r="I2033" s="5"/>
      <c r="J2033" s="5"/>
      <c r="K2033" s="5"/>
      <c r="L2033" s="5"/>
      <c r="M2033" s="5"/>
      <c r="N2033" s="5"/>
      <c r="O2033" s="5"/>
      <c r="P2033" s="5"/>
      <c r="Q2033" s="5"/>
      <c r="R2033" s="5"/>
      <c r="S2033" s="5"/>
      <c r="T2033" s="5"/>
      <c r="U2033" s="5"/>
      <c r="V2033" s="5"/>
      <c r="W2033" s="5"/>
      <c r="X2033" s="5"/>
      <c r="Y2033" s="5"/>
      <c r="Z2033" s="5"/>
    </row>
    <row r="2034" spans="1:26" ht="15.6" x14ac:dyDescent="0.3">
      <c r="A2034" s="18" t="s">
        <v>23</v>
      </c>
      <c r="B2034" s="25" t="s">
        <v>2032</v>
      </c>
      <c r="C2034" s="2" t="str">
        <f ca="1">IFERROR(__xludf.DUMMYFUNCTION("GOOGLETRANSLATE(B2034, ""bn"", ""en"")"),"Our country, being a member of the Muslim Ummah, is enduring insults to Islam, the government is silently proving that they are anti-Islam and traitors.")</f>
        <v>Our country, being a member of the Muslim Ummah, is enduring insults to Islam, the government is silently proving that they are anti-Islam and traitors.</v>
      </c>
      <c r="D2034" s="5"/>
      <c r="E2034" s="5"/>
      <c r="F2034" s="5"/>
      <c r="G2034" s="5"/>
      <c r="H2034" s="5"/>
      <c r="I2034" s="5"/>
      <c r="J2034" s="5"/>
      <c r="K2034" s="5"/>
      <c r="L2034" s="5"/>
      <c r="M2034" s="5"/>
      <c r="N2034" s="5"/>
      <c r="O2034" s="5"/>
      <c r="P2034" s="5"/>
      <c r="Q2034" s="5"/>
      <c r="R2034" s="5"/>
      <c r="S2034" s="5"/>
      <c r="T2034" s="5"/>
      <c r="U2034" s="5"/>
      <c r="V2034" s="5"/>
      <c r="W2034" s="5"/>
      <c r="X2034" s="5"/>
      <c r="Y2034" s="5"/>
      <c r="Z2034" s="5"/>
    </row>
    <row r="2035" spans="1:26" ht="15.6" x14ac:dyDescent="0.3">
      <c r="A2035" s="18" t="s">
        <v>23</v>
      </c>
      <c r="B2035" s="25" t="s">
        <v>2033</v>
      </c>
      <c r="C2035" s="2" t="str">
        <f ca="1">IFERROR(__xludf.DUMMYFUNCTION("GOOGLETRANSLATE(B2035, ""bn"", ""en"")"),"In the past, various Muslim countries have also called their ambassadors in their respective countries to condemn the desecration of the Qur'an.")</f>
        <v>In the past, various Muslim countries have also called their ambassadors in their respective countries to condemn the desecration of the Qur'an.</v>
      </c>
      <c r="D2035" s="5"/>
      <c r="E2035" s="5"/>
      <c r="F2035" s="5"/>
      <c r="G2035" s="5"/>
      <c r="H2035" s="5"/>
      <c r="I2035" s="5"/>
      <c r="J2035" s="5"/>
      <c r="K2035" s="5"/>
      <c r="L2035" s="5"/>
      <c r="M2035" s="5"/>
      <c r="N2035" s="5"/>
      <c r="O2035" s="5"/>
      <c r="P2035" s="5"/>
      <c r="Q2035" s="5"/>
      <c r="R2035" s="5"/>
      <c r="S2035" s="5"/>
      <c r="T2035" s="5"/>
      <c r="U2035" s="5"/>
      <c r="V2035" s="5"/>
      <c r="W2035" s="5"/>
      <c r="X2035" s="5"/>
      <c r="Y2035" s="5"/>
      <c r="Z2035" s="5"/>
    </row>
    <row r="2036" spans="1:26" ht="15.6" x14ac:dyDescent="0.3">
      <c r="A2036" s="18" t="s">
        <v>5</v>
      </c>
      <c r="B2036" s="24" t="s">
        <v>2034</v>
      </c>
      <c r="C2036" s="2" t="str">
        <f ca="1">IFERROR(__xludf.DUMMYFUNCTION("GOOGLETRANSLATE(B2036, ""bn"", ""en"")"),"42 people lost their lives in Mymensingh clashes due to religious differences. The police quickly tried to control the situation but the violence did not stop. The government called upon everyone to exercise calm and religious responsibilities. Many minor"&amp;"ity families seek shelter for safety.")</f>
        <v>42 people lost their lives in Mymensingh clashes due to religious differences. The police quickly tried to control the situation but the violence did not stop. The government called upon everyone to exercise calm and religious responsibilities. Many minority families seek shelter for safety.</v>
      </c>
      <c r="D2036" s="5"/>
      <c r="E2036" s="5"/>
      <c r="F2036" s="5"/>
      <c r="G2036" s="5"/>
      <c r="H2036" s="5"/>
      <c r="I2036" s="5"/>
      <c r="J2036" s="5"/>
      <c r="K2036" s="5"/>
      <c r="L2036" s="5"/>
      <c r="M2036" s="5"/>
      <c r="N2036" s="5"/>
      <c r="O2036" s="5"/>
      <c r="P2036" s="5"/>
      <c r="Q2036" s="5"/>
      <c r="R2036" s="5"/>
      <c r="S2036" s="5"/>
      <c r="T2036" s="5"/>
      <c r="U2036" s="5"/>
      <c r="V2036" s="5"/>
      <c r="W2036" s="5"/>
      <c r="X2036" s="5"/>
      <c r="Y2036" s="5"/>
      <c r="Z2036" s="5"/>
    </row>
    <row r="2037" spans="1:26" ht="15.6" x14ac:dyDescent="0.3">
      <c r="A2037" s="18" t="s">
        <v>3</v>
      </c>
      <c r="B2037" s="25" t="s">
        <v>2035</v>
      </c>
      <c r="C2037" s="2" t="str">
        <f ca="1">IFERROR(__xludf.DUMMYFUNCTION("GOOGLETRANSLATE(B2037, ""bn"", ""en"")"),"Christian missionaries run religiously inspired schools, hospitals and old age homes, with the help of our government they are providing humanitarian services to the poor and helpless.")</f>
        <v>Christian missionaries run religiously inspired schools, hospitals and old age homes, with the help of our government they are providing humanitarian services to the poor and helpless.</v>
      </c>
      <c r="D2037" s="5"/>
      <c r="E2037" s="5"/>
      <c r="F2037" s="5"/>
      <c r="G2037" s="5"/>
      <c r="H2037" s="5"/>
      <c r="I2037" s="5"/>
      <c r="J2037" s="5"/>
      <c r="K2037" s="5"/>
      <c r="L2037" s="5"/>
      <c r="M2037" s="5"/>
      <c r="N2037" s="5"/>
      <c r="O2037" s="5"/>
      <c r="P2037" s="5"/>
      <c r="Q2037" s="5"/>
      <c r="R2037" s="5"/>
      <c r="S2037" s="5"/>
      <c r="T2037" s="5"/>
      <c r="U2037" s="5"/>
      <c r="V2037" s="5"/>
      <c r="W2037" s="5"/>
      <c r="X2037" s="5"/>
      <c r="Y2037" s="5"/>
      <c r="Z2037" s="5"/>
    </row>
    <row r="2038" spans="1:26" ht="15.6" x14ac:dyDescent="0.3">
      <c r="A2038" s="18" t="s">
        <v>23</v>
      </c>
      <c r="B2038" s="25" t="s">
        <v>2036</v>
      </c>
      <c r="C2038" s="2" t="str">
        <f ca="1">IFERROR(__xludf.DUMMYFUNCTION("GOOGLETRANSLATE(B2038, ""bn"", ""en"")"),"I understand that Jagannath is for Sanatan religious people, Puja is done there. But no one wants to go to Jagannath Hall for Iftar party. It does not mean that they cannot have it elsewhere in Dubai.")</f>
        <v>I understand that Jagannath is for Sanatan religious people, Puja is done there. But no one wants to go to Jagannath Hall for Iftar party. It does not mean that they cannot have it elsewhere in Dubai.</v>
      </c>
      <c r="D2038" s="5"/>
      <c r="E2038" s="5"/>
      <c r="F2038" s="5"/>
      <c r="G2038" s="5"/>
      <c r="H2038" s="5"/>
      <c r="I2038" s="5"/>
      <c r="J2038" s="5"/>
      <c r="K2038" s="5"/>
      <c r="L2038" s="5"/>
      <c r="M2038" s="5"/>
      <c r="N2038" s="5"/>
      <c r="O2038" s="5"/>
      <c r="P2038" s="5"/>
      <c r="Q2038" s="5"/>
      <c r="R2038" s="5"/>
      <c r="S2038" s="5"/>
      <c r="T2038" s="5"/>
      <c r="U2038" s="5"/>
      <c r="V2038" s="5"/>
      <c r="W2038" s="5"/>
      <c r="X2038" s="5"/>
      <c r="Y2038" s="5"/>
      <c r="Z2038" s="5"/>
    </row>
    <row r="2039" spans="1:26" ht="15.6" x14ac:dyDescent="0.3">
      <c r="A2039" s="19" t="s">
        <v>3</v>
      </c>
      <c r="B2039" s="26" t="s">
        <v>2037</v>
      </c>
      <c r="C2039" s="2" t="str">
        <f ca="1">IFERROR(__xludf.DUMMYFUNCTION("GOOGLETRANSLATE(B2039, ""bn"", ""en"")"),"Women in Islam have always been placed under guardianship—in charge of fathers, husbands, or brothers.")</f>
        <v>Women in Islam have always been placed under guardianship—in charge of fathers, husbands, or brothers.</v>
      </c>
      <c r="D2039" s="7"/>
      <c r="E2039" s="7"/>
      <c r="F2039" s="5"/>
      <c r="G2039" s="5"/>
      <c r="H2039" s="5"/>
      <c r="I2039" s="5"/>
      <c r="J2039" s="5"/>
      <c r="K2039" s="5"/>
      <c r="L2039" s="5"/>
      <c r="M2039" s="5"/>
      <c r="N2039" s="5"/>
      <c r="O2039" s="5"/>
      <c r="P2039" s="5"/>
      <c r="Q2039" s="5"/>
      <c r="R2039" s="5"/>
      <c r="S2039" s="5"/>
      <c r="T2039" s="5"/>
      <c r="U2039" s="5"/>
      <c r="V2039" s="5"/>
      <c r="W2039" s="5"/>
      <c r="X2039" s="5"/>
      <c r="Y2039" s="5"/>
      <c r="Z2039" s="5"/>
    </row>
    <row r="2040" spans="1:26" ht="15.6" x14ac:dyDescent="0.3">
      <c r="A2040" s="19" t="s">
        <v>3</v>
      </c>
      <c r="B2040" s="26" t="s">
        <v>2038</v>
      </c>
      <c r="C2040" s="2" t="str">
        <f ca="1">IFERROR(__xludf.DUMMYFUNCTION("GOOGLETRANSLATE(B2040, ""bn"", ""en"")"),"If people had religious behavior in their hearts as they wear religious clothes on their bodies, then there would not have been so many conflicts and conflicts in the world.")</f>
        <v>If people had religious behavior in their hearts as they wear religious clothes on their bodies, then there would not have been so many conflicts and conflicts in the world.</v>
      </c>
      <c r="D2040" s="5"/>
      <c r="E2040" s="5"/>
      <c r="F2040" s="5"/>
      <c r="G2040" s="5"/>
      <c r="H2040" s="5"/>
      <c r="I2040" s="5"/>
      <c r="J2040" s="5"/>
      <c r="K2040" s="5"/>
      <c r="L2040" s="5"/>
      <c r="M2040" s="5"/>
      <c r="N2040" s="5"/>
      <c r="O2040" s="5"/>
      <c r="P2040" s="5"/>
      <c r="Q2040" s="5"/>
      <c r="R2040" s="5"/>
      <c r="S2040" s="5"/>
      <c r="T2040" s="5"/>
      <c r="U2040" s="5"/>
      <c r="V2040" s="5"/>
      <c r="W2040" s="5"/>
      <c r="X2040" s="5"/>
      <c r="Y2040" s="5"/>
      <c r="Z2040" s="5"/>
    </row>
    <row r="2041" spans="1:26" ht="15.6" x14ac:dyDescent="0.3">
      <c r="A2041" s="19" t="s">
        <v>3</v>
      </c>
      <c r="B2041" s="26" t="s">
        <v>2039</v>
      </c>
      <c r="C2041" s="2" t="str">
        <f ca="1">IFERROR(__xludf.DUMMYFUNCTION("GOOGLETRANSLATE(B2041, ""bn"", ""en"")"),"The Catholic Church has played an important role in the history and development of Western civilization.[17] It has influenced Western philosophy, culture, science, and art. In 1054, a dispute over the authority of the Pope in Rome led to the separation o"&amp;"f the Eastern Orthodox Church.")</f>
        <v>The Catholic Church has played an important role in the history and development of Western civilization.[17] It has influenced Western philosophy, culture, science, and art. In 1054, a dispute over the authority of the Pope in Rome led to the separation of the Eastern Orthodox Church.</v>
      </c>
      <c r="D2041" s="7"/>
      <c r="E2041" s="5"/>
      <c r="F2041" s="5"/>
      <c r="G2041" s="5"/>
      <c r="H2041" s="5"/>
      <c r="I2041" s="5"/>
      <c r="J2041" s="5"/>
      <c r="K2041" s="5"/>
      <c r="L2041" s="5"/>
      <c r="M2041" s="5"/>
      <c r="N2041" s="5"/>
      <c r="O2041" s="5"/>
      <c r="P2041" s="5"/>
      <c r="Q2041" s="5"/>
      <c r="R2041" s="5"/>
      <c r="S2041" s="5"/>
      <c r="T2041" s="5"/>
      <c r="U2041" s="5"/>
      <c r="V2041" s="5"/>
      <c r="W2041" s="5"/>
      <c r="X2041" s="5"/>
      <c r="Y2041" s="5"/>
      <c r="Z2041" s="5"/>
    </row>
    <row r="2042" spans="1:26" ht="15.6" x14ac:dyDescent="0.3">
      <c r="A2042" s="19" t="s">
        <v>3</v>
      </c>
      <c r="B2042" s="26" t="s">
        <v>2040</v>
      </c>
      <c r="C2042" s="2" t="str">
        <f ca="1">IFERROR(__xludf.DUMMYFUNCTION("GOOGLETRANSLATE(B2042, ""bn"", ""en"")"),"So far in the history of the world 28 people have been Samyaksambuddha. We are currently the 28th Buddha, Gautama Buddha whose dharma spans 5000 years. Another Buddha will appear in the future.")</f>
        <v>So far in the history of the world 28 people have been Samyaksambuddha. We are currently the 28th Buddha, Gautama Buddha whose dharma spans 5000 years. Another Buddha will appear in the future.</v>
      </c>
      <c r="D2042" s="7"/>
      <c r="E2042" s="7"/>
      <c r="F2042" s="7"/>
      <c r="G2042" s="7"/>
      <c r="H2042" s="7"/>
      <c r="I2042" s="7"/>
      <c r="J2042" s="7"/>
      <c r="K2042" s="7"/>
      <c r="L2042" s="7"/>
      <c r="M2042" s="7"/>
      <c r="N2042" s="7"/>
      <c r="O2042" s="5"/>
      <c r="P2042" s="5"/>
      <c r="Q2042" s="5"/>
      <c r="R2042" s="5"/>
      <c r="S2042" s="5"/>
      <c r="T2042" s="5"/>
      <c r="U2042" s="5"/>
      <c r="V2042" s="5"/>
      <c r="W2042" s="5"/>
      <c r="X2042" s="5"/>
      <c r="Y2042" s="5"/>
      <c r="Z2042" s="5"/>
    </row>
    <row r="2043" spans="1:26" ht="15.6" x14ac:dyDescent="0.3">
      <c r="A2043" s="18" t="s">
        <v>8</v>
      </c>
      <c r="B2043" s="25" t="s">
        <v>2041</v>
      </c>
      <c r="C2043" s="2" t="str">
        <f ca="1">IFERROR(__xludf.DUMMYFUNCTION("GOOGLETRANSLATE(B2043, ""bn"", ""en"")"),"On the orders of Saka Chowdhury, Hindu settlements in Raujan were set on fire, businessmen were threatened")</f>
        <v>On the orders of Saka Chowdhury, Hindu settlements in Raujan were set on fire, businessmen were threatened</v>
      </c>
      <c r="D2043" s="2"/>
      <c r="E2043" s="2"/>
      <c r="F2043" s="2"/>
      <c r="G2043" s="2"/>
      <c r="H2043" s="5"/>
      <c r="I2043" s="5"/>
      <c r="J2043" s="5"/>
      <c r="K2043" s="5"/>
      <c r="L2043" s="5"/>
      <c r="M2043" s="5"/>
      <c r="N2043" s="5"/>
      <c r="O2043" s="5"/>
      <c r="P2043" s="5"/>
      <c r="Q2043" s="5"/>
      <c r="R2043" s="5"/>
      <c r="S2043" s="5"/>
      <c r="T2043" s="5"/>
      <c r="U2043" s="5"/>
      <c r="V2043" s="5"/>
      <c r="W2043" s="5"/>
      <c r="X2043" s="5"/>
      <c r="Y2043" s="5"/>
      <c r="Z2043" s="5"/>
    </row>
    <row r="2044" spans="1:26" ht="15.6" x14ac:dyDescent="0.3">
      <c r="A2044" s="18" t="s">
        <v>5</v>
      </c>
      <c r="B2044" s="24" t="s">
        <v>2042</v>
      </c>
      <c r="C2044" s="2" t="str">
        <f ca="1">IFERROR(__xludf.DUMMYFUNCTION("GOOGLETRANSLATE(B2044, ""bn"", ""en"")"),"30 killed in communal riots in a Muslim-dominated area of ​​Comilla; Hundreds were injured.")</f>
        <v>30 killed in communal riots in a Muslim-dominated area of ​​Comilla; Hundreds were injured.</v>
      </c>
      <c r="D2044" s="5"/>
      <c r="E2044" s="5"/>
      <c r="F2044" s="5"/>
      <c r="G2044" s="5"/>
      <c r="H2044" s="5"/>
      <c r="I2044" s="5"/>
      <c r="J2044" s="5"/>
      <c r="K2044" s="5"/>
      <c r="L2044" s="5"/>
      <c r="M2044" s="5"/>
      <c r="N2044" s="5"/>
      <c r="O2044" s="5"/>
      <c r="P2044" s="5"/>
      <c r="Q2044" s="5"/>
      <c r="R2044" s="5"/>
      <c r="S2044" s="5"/>
      <c r="T2044" s="5"/>
      <c r="U2044" s="5"/>
      <c r="V2044" s="5"/>
      <c r="W2044" s="5"/>
      <c r="X2044" s="5"/>
      <c r="Y2044" s="5"/>
      <c r="Z2044" s="5"/>
    </row>
    <row r="2045" spans="1:26" ht="15.6" x14ac:dyDescent="0.3">
      <c r="A2045" s="18" t="s">
        <v>23</v>
      </c>
      <c r="B2045" s="25" t="s">
        <v>2043</v>
      </c>
      <c r="C2045" s="2" t="str">
        <f ca="1">IFERROR(__xludf.DUMMYFUNCTION("GOOGLETRANSLATE(B2045, ""bn"", ""en"")"),"Singing a beautiful farewell to burn in hell.")</f>
        <v>Singing a beautiful farewell to burn in hell.</v>
      </c>
      <c r="D2045" s="5"/>
      <c r="E2045" s="5"/>
      <c r="F2045" s="5"/>
      <c r="G2045" s="5"/>
      <c r="H2045" s="5"/>
      <c r="I2045" s="5"/>
      <c r="J2045" s="5"/>
      <c r="K2045" s="5"/>
      <c r="L2045" s="5"/>
      <c r="M2045" s="5"/>
      <c r="N2045" s="5"/>
      <c r="O2045" s="5"/>
      <c r="P2045" s="5"/>
      <c r="Q2045" s="5"/>
      <c r="R2045" s="5"/>
      <c r="S2045" s="5"/>
      <c r="T2045" s="5"/>
      <c r="U2045" s="5"/>
      <c r="V2045" s="5"/>
      <c r="W2045" s="5"/>
      <c r="X2045" s="5"/>
      <c r="Y2045" s="5"/>
      <c r="Z2045" s="5"/>
    </row>
    <row r="2046" spans="1:26" ht="15.6" x14ac:dyDescent="0.3">
      <c r="A2046" s="18" t="s">
        <v>23</v>
      </c>
      <c r="B2046" s="25" t="s">
        <v>2044</v>
      </c>
      <c r="C2046" s="2" t="str">
        <f ca="1">IFERROR(__xludf.DUMMYFUNCTION("GOOGLETRANSLATE(B2046, ""bn"", ""en"")"),"So unite with Muslim students and protest against it, send a good message about you to your Muslim neighbours. Say you don't like these communal provocations either.")</f>
        <v>So unite with Muslim students and protest against it, send a good message about you to your Muslim neighbours. Say you don't like these communal provocations either.</v>
      </c>
      <c r="D2046" s="2"/>
      <c r="E2046" s="2"/>
      <c r="F2046" s="2"/>
      <c r="G2046" s="2"/>
      <c r="H2046" s="5"/>
      <c r="I2046" s="5"/>
      <c r="J2046" s="5"/>
      <c r="K2046" s="5"/>
      <c r="L2046" s="5"/>
      <c r="M2046" s="5"/>
      <c r="N2046" s="5"/>
      <c r="O2046" s="5"/>
      <c r="P2046" s="5"/>
      <c r="Q2046" s="5"/>
      <c r="R2046" s="5"/>
      <c r="S2046" s="5"/>
      <c r="T2046" s="5"/>
      <c r="U2046" s="5"/>
      <c r="V2046" s="5"/>
      <c r="W2046" s="5"/>
      <c r="X2046" s="5"/>
      <c r="Y2046" s="5"/>
      <c r="Z2046" s="5"/>
    </row>
    <row r="2047" spans="1:26" ht="15.6" x14ac:dyDescent="0.3">
      <c r="A2047" s="19" t="s">
        <v>3</v>
      </c>
      <c r="B2047" s="26" t="s">
        <v>2045</v>
      </c>
      <c r="C2047" s="2" t="str">
        <f ca="1">IFERROR(__xludf.DUMMYFUNCTION("GOOGLETRANSLATE(B2047, ""bn"", ""en"")"),"Tanjim Shakib is claiming to be a preacher somewhere? Or identified himself as a religious guru? Or forced something on someone?")</f>
        <v>Tanjim Shakib is claiming to be a preacher somewhere? Or identified himself as a religious guru? Or forced something on someone?</v>
      </c>
      <c r="D2047" s="5"/>
      <c r="E2047" s="5"/>
      <c r="F2047" s="5"/>
      <c r="G2047" s="5"/>
      <c r="H2047" s="5"/>
      <c r="I2047" s="5"/>
      <c r="J2047" s="5"/>
      <c r="K2047" s="5"/>
      <c r="L2047" s="5"/>
      <c r="M2047" s="5"/>
      <c r="N2047" s="5"/>
      <c r="O2047" s="5"/>
      <c r="P2047" s="5"/>
      <c r="Q2047" s="5"/>
      <c r="R2047" s="5"/>
      <c r="S2047" s="5"/>
      <c r="T2047" s="5"/>
      <c r="U2047" s="5"/>
      <c r="V2047" s="5"/>
      <c r="W2047" s="5"/>
      <c r="X2047" s="5"/>
      <c r="Y2047" s="5"/>
      <c r="Z2047" s="5"/>
    </row>
    <row r="2048" spans="1:26" ht="15.6" x14ac:dyDescent="0.3">
      <c r="A2048" s="18" t="s">
        <v>5</v>
      </c>
      <c r="B2048" s="24" t="s">
        <v>2046</v>
      </c>
      <c r="C2048" s="2" t="str">
        <f ca="1">IFERROR(__xludf.DUMMYFUNCTION("GOOGLETRANSLATE(B2048, ""bn"", ""en"")"),"In a village in Naogaon, a riot sparked by religious extremism led to a planned attack on minority Hindus. 41 people were killed. The attackers looted cattle, goats and other property. Local markets and schools and colleges are also affected. The security"&amp;" forces had to fight for a long time to stop the riots.")</f>
        <v>In a village in Naogaon, a riot sparked by religious extremism led to a planned attack on minority Hindus. 41 people were killed. The attackers looted cattle, goats and other property. Local markets and schools and colleges are also affected. The security forces had to fight for a long time to stop the riots.</v>
      </c>
      <c r="D2048" s="5"/>
      <c r="E2048" s="5"/>
      <c r="F2048" s="5"/>
      <c r="G2048" s="5"/>
      <c r="H2048" s="5"/>
      <c r="I2048" s="5"/>
      <c r="J2048" s="5"/>
      <c r="K2048" s="5"/>
      <c r="L2048" s="5"/>
      <c r="M2048" s="5"/>
      <c r="N2048" s="5"/>
      <c r="O2048" s="5"/>
      <c r="P2048" s="5"/>
      <c r="Q2048" s="5"/>
      <c r="R2048" s="5"/>
      <c r="S2048" s="5"/>
      <c r="T2048" s="5"/>
      <c r="U2048" s="5"/>
      <c r="V2048" s="5"/>
      <c r="W2048" s="5"/>
      <c r="X2048" s="5"/>
      <c r="Y2048" s="5"/>
      <c r="Z2048" s="5"/>
    </row>
    <row r="2049" spans="1:26" ht="15.6" x14ac:dyDescent="0.3">
      <c r="A2049" s="19" t="s">
        <v>3</v>
      </c>
      <c r="B2049" s="26" t="s">
        <v>2047</v>
      </c>
      <c r="C2049" s="2" t="str">
        <f ca="1">IFERROR(__xludf.DUMMYFUNCTION("GOOGLETRANSLATE(B2049, ""bn"", ""en"")"),"A more logical video on the questions people have about the fundamentals of Islam or the doubts raised by science is desirable. thanks brother")</f>
        <v>A more logical video on the questions people have about the fundamentals of Islam or the doubts raised by science is desirable. thanks brother</v>
      </c>
      <c r="D2049" s="7"/>
      <c r="E2049" s="7"/>
      <c r="F2049" s="7"/>
      <c r="G2049" s="7"/>
      <c r="H2049" s="7"/>
      <c r="I2049" s="7"/>
      <c r="J2049" s="5"/>
      <c r="K2049" s="5"/>
      <c r="L2049" s="5"/>
      <c r="M2049" s="5"/>
      <c r="N2049" s="5"/>
      <c r="O2049" s="5"/>
      <c r="P2049" s="5"/>
      <c r="Q2049" s="5"/>
      <c r="R2049" s="5"/>
      <c r="S2049" s="5"/>
      <c r="T2049" s="5"/>
      <c r="U2049" s="5"/>
      <c r="V2049" s="5"/>
      <c r="W2049" s="5"/>
      <c r="X2049" s="5"/>
      <c r="Y2049" s="5"/>
      <c r="Z2049" s="5"/>
    </row>
    <row r="2050" spans="1:26" ht="15.6" x14ac:dyDescent="0.3">
      <c r="A2050" s="19" t="s">
        <v>3</v>
      </c>
      <c r="B2050" s="26" t="s">
        <v>2048</v>
      </c>
      <c r="C2050" s="2" t="str">
        <f ca="1">IFERROR(__xludf.DUMMYFUNCTION("GOOGLETRANSLATE(B2050, ""bn"", ""en"")"),"Discrimination against Hindu teachers against Muslim students, barriers to employment and Muslim-Hindu relations in Bengal were fragile.")</f>
        <v>Discrimination against Hindu teachers against Muslim students, barriers to employment and Muslim-Hindu relations in Bengal were fragile.</v>
      </c>
      <c r="D2050" s="7"/>
      <c r="E2050" s="7"/>
      <c r="F2050" s="7"/>
      <c r="G2050" s="7"/>
      <c r="H2050" s="5"/>
      <c r="I2050" s="5"/>
      <c r="J2050" s="5"/>
      <c r="K2050" s="5"/>
      <c r="L2050" s="5"/>
      <c r="M2050" s="5"/>
      <c r="N2050" s="5"/>
      <c r="O2050" s="5"/>
      <c r="P2050" s="5"/>
      <c r="Q2050" s="5"/>
      <c r="R2050" s="5"/>
      <c r="S2050" s="5"/>
      <c r="T2050" s="5"/>
      <c r="U2050" s="5"/>
      <c r="V2050" s="5"/>
      <c r="W2050" s="5"/>
      <c r="X2050" s="5"/>
      <c r="Y2050" s="5"/>
      <c r="Z2050" s="5"/>
    </row>
    <row r="2051" spans="1:26" ht="15.6" x14ac:dyDescent="0.3">
      <c r="A2051" s="18" t="s">
        <v>5</v>
      </c>
      <c r="B2051" s="24" t="s">
        <v>2049</v>
      </c>
      <c r="C2051" s="2" t="str">
        <f ca="1">IFERROR(__xludf.DUMMYFUNCTION("GOOGLETRANSLATE(B2051, ""bn"", ""en"")"),"In Bagerhat, a group of extremists set fire to the residences and temples of minority Hindus. 39 people were killed in the attack. Many families are forced to flee the village due to insecurity. The local administration and the police failed to take prope"&amp;"r action and the situation further escalated.")</f>
        <v>In Bagerhat, a group of extremists set fire to the residences and temples of minority Hindus. 39 people were killed in the attack. Many families are forced to flee the village due to insecurity. The local administration and the police failed to take proper action and the situation further escalated.</v>
      </c>
      <c r="D2051" s="5"/>
      <c r="E2051" s="5"/>
      <c r="F2051" s="5"/>
      <c r="G2051" s="5"/>
      <c r="H2051" s="5"/>
      <c r="I2051" s="5"/>
      <c r="J2051" s="5"/>
      <c r="K2051" s="5"/>
      <c r="L2051" s="5"/>
      <c r="M2051" s="5"/>
      <c r="N2051" s="5"/>
      <c r="O2051" s="5"/>
      <c r="P2051" s="5"/>
      <c r="Q2051" s="5"/>
      <c r="R2051" s="5"/>
      <c r="S2051" s="5"/>
      <c r="T2051" s="5"/>
      <c r="U2051" s="5"/>
      <c r="V2051" s="5"/>
      <c r="W2051" s="5"/>
      <c r="X2051" s="5"/>
      <c r="Y2051" s="5"/>
      <c r="Z2051" s="5"/>
    </row>
    <row r="2052" spans="1:26" ht="15.6" x14ac:dyDescent="0.3">
      <c r="A2052" s="19" t="s">
        <v>3</v>
      </c>
      <c r="B2052" s="26" t="s">
        <v>2050</v>
      </c>
      <c r="C2052" s="2" t="str">
        <f ca="1">IFERROR(__xludf.DUMMYFUNCTION("GOOGLETRANSLATE(B2052, ""bn"", ""en"")"),"Bangladesh is a predominantly Muslim country. Therefore, the main or important people of almost everything are Muslims. Therefore, the authorities of Dhaka University formulated barriers. Compared with him, the problem of Hinduism is created!!")</f>
        <v>Bangladesh is a predominantly Muslim country. Therefore, the main or important people of almost everything are Muslims. Therefore, the authorities of Dhaka University formulated barriers. Compared with him, the problem of Hinduism is created!!</v>
      </c>
      <c r="D2052" s="5"/>
      <c r="E2052" s="5"/>
      <c r="F2052" s="5"/>
      <c r="G2052" s="5"/>
      <c r="H2052" s="5"/>
      <c r="I2052" s="5"/>
      <c r="J2052" s="5"/>
      <c r="K2052" s="5"/>
      <c r="L2052" s="5"/>
      <c r="M2052" s="5"/>
      <c r="N2052" s="5"/>
      <c r="O2052" s="5"/>
      <c r="P2052" s="5"/>
      <c r="Q2052" s="5"/>
      <c r="R2052" s="5"/>
      <c r="S2052" s="5"/>
      <c r="T2052" s="5"/>
      <c r="U2052" s="5"/>
      <c r="V2052" s="5"/>
      <c r="W2052" s="5"/>
      <c r="X2052" s="5"/>
      <c r="Y2052" s="5"/>
      <c r="Z2052" s="5"/>
    </row>
    <row r="2053" spans="1:26" ht="15.6" x14ac:dyDescent="0.3">
      <c r="A2053" s="18" t="s">
        <v>5</v>
      </c>
      <c r="B2053" s="24" t="s">
        <v>2051</v>
      </c>
      <c r="C2053" s="2" t="str">
        <f ca="1">IFERROR(__xludf.DUMMYFUNCTION("GOOGLETRANSLATE(B2053, ""bn"", ""en"")"),"Clashes started between Hindu and Muslim communities in Narayanganj due to long communal tension. During the clashes, people on both sides were shot and set on fire, resulting in the loss of at least 38 lives and hundreds of injuries. Many houses, busines"&amp;"ses and religious places in the city were burnt down, greatly affecting the local economy.")</f>
        <v>Clashes started between Hindu and Muslim communities in Narayanganj due to long communal tension. During the clashes, people on both sides were shot and set on fire, resulting in the loss of at least 38 lives and hundreds of injuries. Many houses, businesses and religious places in the city were burnt down, greatly affecting the local economy.</v>
      </c>
      <c r="D2053" s="5"/>
      <c r="E2053" s="5"/>
      <c r="F2053" s="5"/>
      <c r="G2053" s="5"/>
      <c r="H2053" s="5"/>
      <c r="I2053" s="5"/>
      <c r="J2053" s="5"/>
      <c r="K2053" s="5"/>
      <c r="L2053" s="5"/>
      <c r="M2053" s="5"/>
      <c r="N2053" s="5"/>
      <c r="O2053" s="5"/>
      <c r="P2053" s="5"/>
      <c r="Q2053" s="5"/>
      <c r="R2053" s="5"/>
      <c r="S2053" s="5"/>
      <c r="T2053" s="5"/>
      <c r="U2053" s="5"/>
      <c r="V2053" s="5"/>
      <c r="W2053" s="5"/>
      <c r="X2053" s="5"/>
      <c r="Y2053" s="5"/>
      <c r="Z2053" s="5"/>
    </row>
    <row r="2054" spans="1:26" ht="15.6" x14ac:dyDescent="0.3">
      <c r="A2054" s="18" t="s">
        <v>5</v>
      </c>
      <c r="B2054" s="24" t="s">
        <v>2052</v>
      </c>
      <c r="C2054" s="2" t="str">
        <f ca="1">IFERROR(__xludf.DUMMYFUNCTION("GOOGLETRANSLATE(B2054, ""bn"", ""en"")"),"At least 45 people were killed in an attack on a minority community in Chittagong due to religious extremism.")</f>
        <v>At least 45 people were killed in an attack on a minority community in Chittagong due to religious extremism.</v>
      </c>
      <c r="D2054" s="5"/>
      <c r="E2054" s="5"/>
      <c r="F2054" s="5"/>
      <c r="G2054" s="5"/>
      <c r="H2054" s="5"/>
      <c r="I2054" s="5"/>
      <c r="J2054" s="5"/>
      <c r="K2054" s="5"/>
      <c r="L2054" s="5"/>
      <c r="M2054" s="5"/>
      <c r="N2054" s="5"/>
      <c r="O2054" s="5"/>
      <c r="P2054" s="5"/>
      <c r="Q2054" s="5"/>
      <c r="R2054" s="5"/>
      <c r="S2054" s="5"/>
      <c r="T2054" s="5"/>
      <c r="U2054" s="5"/>
      <c r="V2054" s="5"/>
      <c r="W2054" s="5"/>
      <c r="X2054" s="5"/>
      <c r="Y2054" s="5"/>
      <c r="Z2054" s="5"/>
    </row>
    <row r="2055" spans="1:26" ht="15.6" x14ac:dyDescent="0.3">
      <c r="A2055" s="18" t="s">
        <v>3</v>
      </c>
      <c r="B2055" s="25" t="s">
        <v>2053</v>
      </c>
      <c r="C2055" s="2" t="str">
        <f ca="1">IFERROR(__xludf.DUMMYFUNCTION("GOOGLETRANSLATE(B2055, ""bn"", ""en"")"),"In Islam there is a strict provision of safety of life and property of all, be it Hindu or Buddhist")</f>
        <v>In Islam there is a strict provision of safety of life and property of all, be it Hindu or Buddhist</v>
      </c>
      <c r="D2055" s="5"/>
      <c r="E2055" s="5"/>
      <c r="F2055" s="5"/>
      <c r="G2055" s="5"/>
      <c r="H2055" s="5"/>
      <c r="I2055" s="5"/>
      <c r="J2055" s="5"/>
      <c r="K2055" s="5"/>
      <c r="L2055" s="5"/>
      <c r="M2055" s="5"/>
      <c r="N2055" s="5"/>
      <c r="O2055" s="5"/>
      <c r="P2055" s="5"/>
      <c r="Q2055" s="5"/>
      <c r="R2055" s="5"/>
      <c r="S2055" s="5"/>
      <c r="T2055" s="5"/>
      <c r="U2055" s="5"/>
      <c r="V2055" s="5"/>
      <c r="W2055" s="5"/>
      <c r="X2055" s="5"/>
      <c r="Y2055" s="5"/>
      <c r="Z2055" s="5"/>
    </row>
    <row r="2056" spans="1:26" ht="15.6" x14ac:dyDescent="0.3">
      <c r="A2056" s="18" t="s">
        <v>23</v>
      </c>
      <c r="B2056" s="25" t="s">
        <v>2054</v>
      </c>
      <c r="C2056" s="2" t="str">
        <f ca="1">IFERROR(__xludf.DUMMYFUNCTION("GOOGLETRANSLATE(B2056, ""bn"", ""en"")"),"When Taskin's wife veiled, the so-called progressivists left Taskin in a frenzy.")</f>
        <v>When Taskin's wife veiled, the so-called progressivists left Taskin in a frenzy.</v>
      </c>
      <c r="D2056" s="2"/>
      <c r="E2056" s="2"/>
      <c r="F2056" s="2"/>
      <c r="G2056" s="2"/>
      <c r="H2056" s="3"/>
      <c r="I2056" s="3"/>
      <c r="J2056" s="3"/>
      <c r="K2056" s="3"/>
      <c r="L2056" s="3"/>
      <c r="M2056" s="3"/>
      <c r="N2056" s="3"/>
      <c r="O2056" s="3"/>
      <c r="P2056" s="3"/>
      <c r="Q2056" s="3"/>
      <c r="R2056" s="3"/>
      <c r="S2056" s="3"/>
      <c r="T2056" s="3"/>
      <c r="U2056" s="3"/>
      <c r="V2056" s="3"/>
      <c r="W2056" s="3"/>
      <c r="X2056" s="3"/>
      <c r="Y2056" s="3"/>
      <c r="Z2056" s="3"/>
    </row>
    <row r="2057" spans="1:26" ht="15.6" x14ac:dyDescent="0.3">
      <c r="A2057" s="18" t="s">
        <v>3</v>
      </c>
      <c r="B2057" s="25" t="s">
        <v>2055</v>
      </c>
      <c r="C2057" s="2" t="str">
        <f ca="1">IFERROR(__xludf.DUMMYFUNCTION("GOOGLETRANSLATE(B2057, ""bn"", ""en"")"),"In view of the decision of Austria, the ECHR said that this rule was issued to protect the feelings of the followers of other religions and with the aim of preserving religious peace and cautiously restricting the right to free expression.")</f>
        <v>In view of the decision of Austria, the ECHR said that this rule was issued to protect the feelings of the followers of other religions and with the aim of preserving religious peace and cautiously restricting the right to free expression.</v>
      </c>
      <c r="D2057" s="5"/>
      <c r="E2057" s="5"/>
      <c r="F2057" s="5"/>
      <c r="G2057" s="5"/>
      <c r="H2057" s="5"/>
      <c r="I2057" s="5"/>
      <c r="J2057" s="5"/>
      <c r="K2057" s="5"/>
      <c r="L2057" s="5"/>
      <c r="M2057" s="5"/>
      <c r="N2057" s="5"/>
      <c r="O2057" s="5"/>
      <c r="P2057" s="5"/>
      <c r="Q2057" s="5"/>
      <c r="R2057" s="5"/>
      <c r="S2057" s="5"/>
      <c r="T2057" s="5"/>
      <c r="U2057" s="5"/>
      <c r="V2057" s="5"/>
      <c r="W2057" s="5"/>
      <c r="X2057" s="5"/>
      <c r="Y2057" s="5"/>
      <c r="Z2057" s="5"/>
    </row>
    <row r="2058" spans="1:26" ht="15.6" x14ac:dyDescent="0.3">
      <c r="A2058" s="18" t="s">
        <v>8</v>
      </c>
      <c r="B2058" s="25" t="s">
        <v>2056</v>
      </c>
      <c r="C2058" s="2" t="str">
        <f ca="1">IFERROR(__xludf.DUMMYFUNCTION("GOOGLETRANSLATE(B2058, ""bn"", ""en"")"),"In Rangpur's Thakurpara, in 2017, houses of the Hindu community were set on fire after accusing them of insulting Islam through social media.")</f>
        <v>In Rangpur's Thakurpara, in 2017, houses of the Hindu community were set on fire after accusing them of insulting Islam through social media.</v>
      </c>
      <c r="D2058" s="5"/>
      <c r="E2058" s="5"/>
      <c r="F2058" s="5"/>
      <c r="G2058" s="5"/>
      <c r="H2058" s="5"/>
      <c r="I2058" s="5"/>
      <c r="J2058" s="5"/>
      <c r="K2058" s="5"/>
      <c r="L2058" s="5"/>
      <c r="M2058" s="5"/>
      <c r="N2058" s="5"/>
      <c r="O2058" s="5"/>
      <c r="P2058" s="5"/>
      <c r="Q2058" s="5"/>
      <c r="R2058" s="5"/>
      <c r="S2058" s="5"/>
      <c r="T2058" s="5"/>
      <c r="U2058" s="5"/>
      <c r="V2058" s="5"/>
      <c r="W2058" s="5"/>
      <c r="X2058" s="5"/>
      <c r="Y2058" s="5"/>
      <c r="Z2058" s="5"/>
    </row>
    <row r="2059" spans="1:26" ht="15.6" x14ac:dyDescent="0.3">
      <c r="A2059" s="18" t="s">
        <v>3</v>
      </c>
      <c r="B2059" s="25" t="s">
        <v>2057</v>
      </c>
      <c r="C2059" s="2" t="str">
        <f ca="1">IFERROR(__xludf.DUMMYFUNCTION("GOOGLETRANSLATE(B2059, ""bn"", ""en"")"),"May Allah measure us and give us the grace to accept this blessing of Paradise")</f>
        <v>May Allah measure us and give us the grace to accept this blessing of Paradise</v>
      </c>
      <c r="D2059" s="2"/>
      <c r="E2059" s="2"/>
      <c r="F2059" s="2"/>
      <c r="G2059" s="2"/>
      <c r="H2059" s="5"/>
      <c r="I2059" s="5"/>
      <c r="J2059" s="5"/>
      <c r="K2059" s="5"/>
      <c r="L2059" s="5"/>
      <c r="M2059" s="5"/>
      <c r="N2059" s="5"/>
      <c r="O2059" s="5"/>
      <c r="P2059" s="5"/>
      <c r="Q2059" s="5"/>
      <c r="R2059" s="5"/>
      <c r="S2059" s="5"/>
      <c r="T2059" s="5"/>
      <c r="U2059" s="5"/>
      <c r="V2059" s="5"/>
      <c r="W2059" s="5"/>
      <c r="X2059" s="5"/>
      <c r="Y2059" s="5"/>
      <c r="Z2059" s="5"/>
    </row>
    <row r="2060" spans="1:26" ht="15.6" x14ac:dyDescent="0.3">
      <c r="A2060" s="18" t="s">
        <v>5</v>
      </c>
      <c r="B2060" s="25" t="s">
        <v>2058</v>
      </c>
      <c r="C2060" s="2" t="str">
        <f ca="1">IFERROR(__xludf.DUMMYFUNCTION("GOOGLETRANSLATE(B2060, ""bn"", ""en"")"),"A procession came from Moninag area of ​​Hajiganj upazila of Chandpur district and attacked some temples after 8 pm on October 13. Clashes broke out when the attackers were intercepted by the police. 3 people were killed and 17 policemen were injured in t"&amp;"he clash.")</f>
        <v>A procession came from Moninag area of ​​Hajiganj upazila of Chandpur district and attacked some temples after 8 pm on October 13. Clashes broke out when the attackers were intercepted by the police. 3 people were killed and 17 policemen were injured in the clash.</v>
      </c>
      <c r="D2060" s="6"/>
      <c r="E2060" s="6"/>
      <c r="F2060" s="6"/>
      <c r="G2060" s="6"/>
      <c r="H2060" s="3"/>
      <c r="I2060" s="3"/>
      <c r="J2060" s="3"/>
      <c r="K2060" s="3"/>
      <c r="L2060" s="3"/>
      <c r="M2060" s="3"/>
      <c r="N2060" s="3"/>
      <c r="O2060" s="3"/>
      <c r="P2060" s="3"/>
      <c r="Q2060" s="3"/>
      <c r="R2060" s="3"/>
      <c r="S2060" s="3"/>
      <c r="T2060" s="3"/>
      <c r="U2060" s="3"/>
      <c r="V2060" s="3"/>
      <c r="W2060" s="3"/>
      <c r="X2060" s="3"/>
      <c r="Y2060" s="3"/>
      <c r="Z2060" s="3"/>
    </row>
    <row r="2061" spans="1:26" ht="15.6" x14ac:dyDescent="0.3">
      <c r="A2061" s="19" t="s">
        <v>23</v>
      </c>
      <c r="B2061" s="26" t="s">
        <v>2059</v>
      </c>
      <c r="C2061" s="2" t="str">
        <f ca="1">IFERROR(__xludf.DUMMYFUNCTION("GOOGLETRANSLATE(B2061, ""bn"", ""en"")"),"A train was brutally attacked on 28th February. On the same day, merciless attacks on the Hindu community of Rajshahi district also started.")</f>
        <v>A train was brutally attacked on 28th February. On the same day, merciless attacks on the Hindu community of Rajshahi district also started.</v>
      </c>
      <c r="D2061" s="7"/>
      <c r="E2061" s="7"/>
      <c r="F2061" s="7"/>
      <c r="G2061" s="7"/>
      <c r="H2061" s="7"/>
      <c r="I2061" s="7"/>
      <c r="J2061" s="7"/>
      <c r="K2061" s="5"/>
      <c r="L2061" s="5"/>
      <c r="M2061" s="5"/>
      <c r="N2061" s="5"/>
      <c r="O2061" s="5"/>
      <c r="P2061" s="5"/>
      <c r="Q2061" s="5"/>
      <c r="R2061" s="5"/>
      <c r="S2061" s="5"/>
      <c r="T2061" s="5"/>
      <c r="U2061" s="5"/>
      <c r="V2061" s="5"/>
      <c r="W2061" s="5"/>
      <c r="X2061" s="5"/>
      <c r="Y2061" s="5"/>
      <c r="Z2061" s="5"/>
    </row>
    <row r="2062" spans="1:26" ht="15.6" x14ac:dyDescent="0.3">
      <c r="A2062" s="18" t="s">
        <v>5</v>
      </c>
      <c r="B2062" s="24" t="s">
        <v>2060</v>
      </c>
      <c r="C2062" s="2" t="str">
        <f ca="1">IFERROR(__xludf.DUMMYFUNCTION("GOOGLETRANSLATE(B2062, ""bn"", ""en"")"),"At least 40 people were killed in the attack on the minority Hindu community in Brahmanbaria. The administration does not act to stop the violence.")</f>
        <v>At least 40 people were killed in the attack on the minority Hindu community in Brahmanbaria. The administration does not act to stop the violence.</v>
      </c>
      <c r="D2062" s="5"/>
      <c r="E2062" s="5"/>
      <c r="F2062" s="5"/>
      <c r="G2062" s="5"/>
      <c r="H2062" s="5"/>
      <c r="I2062" s="5"/>
      <c r="J2062" s="5"/>
      <c r="K2062" s="5"/>
      <c r="L2062" s="5"/>
      <c r="M2062" s="5"/>
      <c r="N2062" s="5"/>
      <c r="O2062" s="5"/>
      <c r="P2062" s="5"/>
      <c r="Q2062" s="5"/>
      <c r="R2062" s="5"/>
      <c r="S2062" s="5"/>
      <c r="T2062" s="5"/>
      <c r="U2062" s="5"/>
      <c r="V2062" s="5"/>
      <c r="W2062" s="5"/>
      <c r="X2062" s="5"/>
      <c r="Y2062" s="5"/>
      <c r="Z2062" s="5"/>
    </row>
    <row r="2063" spans="1:26" ht="15.6" x14ac:dyDescent="0.3">
      <c r="A2063" s="18" t="s">
        <v>23</v>
      </c>
      <c r="B2063" s="25" t="s">
        <v>2061</v>
      </c>
      <c r="C2063" s="2" t="str">
        <f ca="1">IFERROR(__xludf.DUMMYFUNCTION("GOOGLETRANSLATE(B2063, ""bn"", ""en"")"),"When talking about Islamic rules and principles, many people get angry, many Muslims consider it as giving additional knowledge.")</f>
        <v>When talking about Islamic rules and principles, many people get angry, many Muslims consider it as giving additional knowledge.</v>
      </c>
      <c r="D2063" s="5"/>
      <c r="E2063" s="5"/>
      <c r="F2063" s="5"/>
      <c r="G2063" s="5"/>
      <c r="H2063" s="5"/>
      <c r="I2063" s="5"/>
      <c r="J2063" s="5"/>
      <c r="K2063" s="5"/>
      <c r="L2063" s="5"/>
      <c r="M2063" s="5"/>
      <c r="N2063" s="5"/>
      <c r="O2063" s="5"/>
      <c r="P2063" s="5"/>
      <c r="Q2063" s="5"/>
      <c r="R2063" s="5"/>
      <c r="S2063" s="5"/>
      <c r="T2063" s="5"/>
      <c r="U2063" s="5"/>
      <c r="V2063" s="5"/>
      <c r="W2063" s="5"/>
      <c r="X2063" s="5"/>
      <c r="Y2063" s="5"/>
      <c r="Z2063" s="5"/>
    </row>
    <row r="2064" spans="1:26" ht="15.6" x14ac:dyDescent="0.3">
      <c r="A2064" s="19" t="s">
        <v>3</v>
      </c>
      <c r="B2064" s="26" t="s">
        <v>2062</v>
      </c>
      <c r="C2064" s="2" t="str">
        <f ca="1">IFERROR(__xludf.DUMMYFUNCTION("GOOGLETRANSLATE(B2064, ""bn"", ""en"")"),"Sunni Islamic jurisprudence is primarily based on Sharia as interpreted by the Hanbali school of jurisprudence. Freedom of religion is not provided under the law.")</f>
        <v>Sunni Islamic jurisprudence is primarily based on Sharia as interpreted by the Hanbali school of jurisprudence. Freedom of religion is not provided under the law.</v>
      </c>
      <c r="D2064" s="5"/>
      <c r="E2064" s="5"/>
      <c r="F2064" s="5"/>
      <c r="G2064" s="5"/>
      <c r="H2064" s="5"/>
      <c r="I2064" s="5"/>
      <c r="J2064" s="5"/>
      <c r="K2064" s="5"/>
      <c r="L2064" s="5"/>
      <c r="M2064" s="5"/>
      <c r="N2064" s="5"/>
      <c r="O2064" s="5"/>
      <c r="P2064" s="5"/>
      <c r="Q2064" s="5"/>
      <c r="R2064" s="5"/>
      <c r="S2064" s="5"/>
      <c r="T2064" s="5"/>
      <c r="U2064" s="5"/>
      <c r="V2064" s="5"/>
      <c r="W2064" s="5"/>
      <c r="X2064" s="5"/>
      <c r="Y2064" s="5"/>
      <c r="Z2064" s="5"/>
    </row>
    <row r="2065" spans="1:26" ht="15.6" x14ac:dyDescent="0.3">
      <c r="A2065" s="18" t="s">
        <v>8</v>
      </c>
      <c r="B2065" s="25" t="s">
        <v>2063</v>
      </c>
      <c r="C2065" s="2" t="str">
        <f ca="1">IFERROR(__xludf.DUMMYFUNCTION("GOOGLETRANSLATE(B2065, ""bn"", ""en"")"),"In 1987, there was a series of threats and attacks against Hindus by a gang called the ""Dotbusters"". The name of this gang is derived from the tip worn on the foreheads of Hindu women.")</f>
        <v>In 1987, there was a series of threats and attacks against Hindus by a gang called the "Dotbusters". The name of this gang is derived from the tip worn on the foreheads of Hindu women.</v>
      </c>
      <c r="D2065" s="2"/>
      <c r="E2065" s="2"/>
      <c r="F2065" s="2"/>
      <c r="G2065" s="2"/>
      <c r="H2065" s="5"/>
      <c r="I2065" s="5"/>
      <c r="J2065" s="5"/>
      <c r="K2065" s="5"/>
      <c r="L2065" s="5"/>
      <c r="M2065" s="5"/>
      <c r="N2065" s="5"/>
      <c r="O2065" s="5"/>
      <c r="P2065" s="5"/>
      <c r="Q2065" s="5"/>
      <c r="R2065" s="5"/>
      <c r="S2065" s="5"/>
      <c r="T2065" s="5"/>
      <c r="U2065" s="5"/>
      <c r="V2065" s="5"/>
      <c r="W2065" s="5"/>
      <c r="X2065" s="5"/>
      <c r="Y2065" s="5"/>
      <c r="Z2065" s="5"/>
    </row>
    <row r="2066" spans="1:26" ht="15.6" x14ac:dyDescent="0.3">
      <c r="A2066" s="18" t="s">
        <v>5</v>
      </c>
      <c r="B2066" s="24" t="s">
        <v>2064</v>
      </c>
      <c r="C2066" s="2" t="str">
        <f ca="1">IFERROR(__xludf.DUMMYFUNCTION("GOOGLETRANSLATE(B2066, ""bn"", ""en"")"),"43 people were killed in religious riots in Thakurgaon. The police tried to control the situation but the violence did not stop. The government urges everyone to remain calm and responsible. Many minority families leave the village for security reasons.")</f>
        <v>43 people were killed in religious riots in Thakurgaon. The police tried to control the situation but the violence did not stop. The government urges everyone to remain calm and responsible. Many minority families leave the village for security reasons.</v>
      </c>
      <c r="D2066" s="5"/>
      <c r="E2066" s="5"/>
      <c r="F2066" s="5"/>
      <c r="G2066" s="5"/>
      <c r="H2066" s="5"/>
      <c r="I2066" s="5"/>
      <c r="J2066" s="5"/>
      <c r="K2066" s="5"/>
      <c r="L2066" s="5"/>
      <c r="M2066" s="5"/>
      <c r="N2066" s="5"/>
      <c r="O2066" s="5"/>
      <c r="P2066" s="5"/>
      <c r="Q2066" s="5"/>
      <c r="R2066" s="5"/>
      <c r="S2066" s="5"/>
      <c r="T2066" s="5"/>
      <c r="U2066" s="5"/>
      <c r="V2066" s="5"/>
      <c r="W2066" s="5"/>
      <c r="X2066" s="5"/>
      <c r="Y2066" s="5"/>
      <c r="Z2066" s="5"/>
    </row>
    <row r="2067" spans="1:26" ht="15.6" x14ac:dyDescent="0.3">
      <c r="A2067" s="19" t="s">
        <v>3</v>
      </c>
      <c r="B2067" s="26" t="s">
        <v>2065</v>
      </c>
      <c r="C2067" s="2" t="str">
        <f ca="1">IFERROR(__xludf.DUMMYFUNCTION("GOOGLETRANSLATE(B2067, ""bn"", ""en"")"),"The areas of Dinajpur, Mymensingh, Sylhet and Rajshahi Catholic Bishops of Bangladesh are under the Bishop of Dhaka, and the areas of Barisal and Khulna are under the Bishop of Chittagong.")</f>
        <v>The areas of Dinajpur, Mymensingh, Sylhet and Rajshahi Catholic Bishops of Bangladesh are under the Bishop of Dhaka, and the areas of Barisal and Khulna are under the Bishop of Chittagong.</v>
      </c>
      <c r="D2067" s="7"/>
      <c r="E2067" s="7"/>
      <c r="F2067" s="7"/>
      <c r="G2067" s="7"/>
      <c r="H2067" s="7"/>
      <c r="I2067" s="7"/>
      <c r="J2067" s="7"/>
      <c r="K2067" s="7"/>
      <c r="L2067" s="7"/>
      <c r="M2067" s="5"/>
      <c r="N2067" s="5"/>
      <c r="O2067" s="5"/>
      <c r="P2067" s="5"/>
      <c r="Q2067" s="5"/>
      <c r="R2067" s="5"/>
      <c r="S2067" s="5"/>
      <c r="T2067" s="5"/>
      <c r="U2067" s="5"/>
      <c r="V2067" s="5"/>
      <c r="W2067" s="5"/>
      <c r="X2067" s="5"/>
      <c r="Y2067" s="5"/>
      <c r="Z2067" s="5"/>
    </row>
    <row r="2068" spans="1:26" ht="15.6" x14ac:dyDescent="0.3">
      <c r="A2068" s="18" t="s">
        <v>5</v>
      </c>
      <c r="B2068" s="24" t="s">
        <v>2066</v>
      </c>
      <c r="C2068" s="2" t="str">
        <f ca="1">IFERROR(__xludf.DUMMYFUNCTION("GOOGLETRANSLATE(B2068, ""bn"", ""en"")"),"Religious extremists in Bandarban ban blood donation of minorities; As a result, at least 40 people died.")</f>
        <v>Religious extremists in Bandarban ban blood donation of minorities; As a result, at least 40 people died.</v>
      </c>
      <c r="D2068" s="5"/>
      <c r="E2068" s="5"/>
      <c r="F2068" s="5"/>
      <c r="G2068" s="5"/>
      <c r="H2068" s="5"/>
      <c r="I2068" s="5"/>
      <c r="J2068" s="5"/>
      <c r="K2068" s="5"/>
      <c r="L2068" s="5"/>
      <c r="M2068" s="5"/>
      <c r="N2068" s="5"/>
      <c r="O2068" s="5"/>
      <c r="P2068" s="5"/>
      <c r="Q2068" s="5"/>
      <c r="R2068" s="5"/>
      <c r="S2068" s="5"/>
      <c r="T2068" s="5"/>
      <c r="U2068" s="5"/>
      <c r="V2068" s="5"/>
      <c r="W2068" s="5"/>
      <c r="X2068" s="5"/>
      <c r="Y2068" s="5"/>
      <c r="Z2068" s="5"/>
    </row>
    <row r="2069" spans="1:26" ht="15.6" x14ac:dyDescent="0.3">
      <c r="A2069" s="18" t="s">
        <v>5</v>
      </c>
      <c r="B2069" s="25" t="s">
        <v>2067</v>
      </c>
      <c r="C2069" s="2" t="str">
        <f ca="1">IFERROR(__xludf.DUMMYFUNCTION("GOOGLETRANSLATE(B2069, ""bn"", ""en"")"),"The Hindus/Christians tried to run in disarray and the armed mob pounced on them. They kill men indiscriminately and humiliate women in broad daylight.")</f>
        <v>The Hindus/Christians tried to run in disarray and the armed mob pounced on them. They kill men indiscriminately and humiliate women in broad daylight.</v>
      </c>
      <c r="D2069" s="2"/>
      <c r="E2069" s="2"/>
      <c r="F2069" s="2"/>
      <c r="G2069" s="2"/>
      <c r="H2069" s="3"/>
      <c r="I2069" s="3"/>
      <c r="J2069" s="3"/>
      <c r="K2069" s="3"/>
      <c r="L2069" s="3"/>
      <c r="M2069" s="3"/>
      <c r="N2069" s="3"/>
      <c r="O2069" s="3"/>
      <c r="P2069" s="3"/>
      <c r="Q2069" s="3"/>
      <c r="R2069" s="3"/>
      <c r="S2069" s="3"/>
      <c r="T2069" s="3"/>
      <c r="U2069" s="3"/>
      <c r="V2069" s="3"/>
      <c r="W2069" s="3"/>
      <c r="X2069" s="3"/>
      <c r="Y2069" s="3"/>
      <c r="Z2069" s="3"/>
    </row>
    <row r="2070" spans="1:26" ht="15.6" x14ac:dyDescent="0.3">
      <c r="A2070" s="18" t="s">
        <v>23</v>
      </c>
      <c r="B2070" s="24" t="s">
        <v>2068</v>
      </c>
      <c r="C2070" s="2" t="str">
        <f ca="1">IFERROR(__xludf.DUMMYFUNCTION("GOOGLETRANSLATE(B2070, ""bn"", ""en"")"),"Christian missionaries are denigrating the religious traditions and culture of the country in the name of conversion which is destroying the social unity of the country.")</f>
        <v>Christian missionaries are denigrating the religious traditions and culture of the country in the name of conversion which is destroying the social unity of the country.</v>
      </c>
      <c r="D2070" s="5"/>
      <c r="E2070" s="5"/>
      <c r="F2070" s="5"/>
      <c r="G2070" s="5"/>
      <c r="H2070" s="5"/>
      <c r="I2070" s="5"/>
      <c r="J2070" s="5"/>
      <c r="K2070" s="5"/>
      <c r="L2070" s="5"/>
      <c r="M2070" s="5"/>
      <c r="N2070" s="5"/>
      <c r="O2070" s="5"/>
      <c r="P2070" s="5"/>
      <c r="Q2070" s="5"/>
      <c r="R2070" s="5"/>
      <c r="S2070" s="5"/>
      <c r="T2070" s="5"/>
      <c r="U2070" s="5"/>
      <c r="V2070" s="5"/>
      <c r="W2070" s="5"/>
      <c r="X2070" s="5"/>
      <c r="Y2070" s="5"/>
      <c r="Z2070" s="5"/>
    </row>
    <row r="2071" spans="1:26" ht="15.6" x14ac:dyDescent="0.3">
      <c r="A2071" s="18" t="s">
        <v>23</v>
      </c>
      <c r="B2071" s="25" t="s">
        <v>2069</v>
      </c>
      <c r="C2071" s="2" t="str">
        <f ca="1">IFERROR(__xludf.DUMMYFUNCTION("GOOGLETRANSLATE(B2071, ""bn"", ""en"")"),"For days now, social media has been seeing hateful posts against Hindus, making derogatory comments about their beliefs and practices.")</f>
        <v>For days now, social media has been seeing hateful posts against Hindus, making derogatory comments about their beliefs and practices.</v>
      </c>
      <c r="D2071" s="2"/>
      <c r="E2071" s="2"/>
      <c r="F2071" s="2"/>
      <c r="G2071" s="2"/>
      <c r="H2071" s="3"/>
      <c r="I2071" s="3"/>
      <c r="J2071" s="3"/>
      <c r="K2071" s="3"/>
      <c r="L2071" s="3"/>
      <c r="M2071" s="3"/>
      <c r="N2071" s="3"/>
      <c r="O2071" s="3"/>
      <c r="P2071" s="3"/>
      <c r="Q2071" s="3"/>
      <c r="R2071" s="3"/>
      <c r="S2071" s="3"/>
      <c r="T2071" s="3"/>
      <c r="U2071" s="3"/>
      <c r="V2071" s="3"/>
      <c r="W2071" s="3"/>
      <c r="X2071" s="3"/>
      <c r="Y2071" s="3"/>
      <c r="Z2071" s="3"/>
    </row>
    <row r="2072" spans="1:26" ht="15.6" x14ac:dyDescent="0.3">
      <c r="A2072" s="18" t="s">
        <v>8</v>
      </c>
      <c r="B2072" s="25" t="s">
        <v>2070</v>
      </c>
      <c r="C2072" s="2" t="str">
        <f ca="1">IFERROR(__xludf.DUMMYFUNCTION("GOOGLETRANSLATE(B2072, ""bn"", ""en"")"),"Hindu women are forced to wear the hijab as part of a plan to weaken and oppress the Hindu community in society by keeping them separate from Muslims and insulting their religious identity.")</f>
        <v>Hindu women are forced to wear the hijab as part of a plan to weaken and oppress the Hindu community in society by keeping them separate from Muslims and insulting their religious identity.</v>
      </c>
      <c r="D2072" s="5"/>
      <c r="E2072" s="5"/>
      <c r="F2072" s="5"/>
      <c r="G2072" s="5"/>
      <c r="H2072" s="5"/>
      <c r="I2072" s="5"/>
      <c r="J2072" s="5"/>
      <c r="K2072" s="5"/>
      <c r="L2072" s="5"/>
      <c r="M2072" s="5"/>
      <c r="N2072" s="5"/>
      <c r="O2072" s="5"/>
      <c r="P2072" s="5"/>
      <c r="Q2072" s="5"/>
      <c r="R2072" s="5"/>
      <c r="S2072" s="5"/>
      <c r="T2072" s="5"/>
      <c r="U2072" s="5"/>
      <c r="V2072" s="5"/>
      <c r="W2072" s="5"/>
      <c r="X2072" s="5"/>
      <c r="Y2072" s="5"/>
      <c r="Z2072" s="5"/>
    </row>
    <row r="2073" spans="1:26" ht="15.6" x14ac:dyDescent="0.3">
      <c r="A2073" s="18" t="s">
        <v>8</v>
      </c>
      <c r="B2073" s="25" t="s">
        <v>2071</v>
      </c>
      <c r="C2073" s="2" t="str">
        <f ca="1">IFERROR(__xludf.DUMMYFUNCTION("GOOGLETRANSLATE(B2073, ""bn"", ""en"")"),"Protests in Bangladesh's Muslim community turned violent due to offensive comments about the Holy Prophet (PBUH). Leaders of Islamic organizations have called for peace. Two people were killed and at least 30 people, including the police, were injured in "&amp;"the violence.")</f>
        <v>Protests in Bangladesh's Muslim community turned violent due to offensive comments about the Holy Prophet (PBUH). Leaders of Islamic organizations have called for peace. Two people were killed and at least 30 people, including the police, were injured in the violence.</v>
      </c>
      <c r="D2073" s="2"/>
      <c r="E2073" s="2"/>
      <c r="F2073" s="2"/>
      <c r="G2073" s="2"/>
      <c r="H2073" s="3"/>
      <c r="I2073" s="3"/>
      <c r="J2073" s="3"/>
      <c r="K2073" s="3"/>
      <c r="L2073" s="3"/>
      <c r="M2073" s="3"/>
      <c r="N2073" s="3"/>
      <c r="O2073" s="3"/>
      <c r="P2073" s="3"/>
      <c r="Q2073" s="3"/>
      <c r="R2073" s="3"/>
      <c r="S2073" s="3"/>
      <c r="T2073" s="3"/>
      <c r="U2073" s="3"/>
      <c r="V2073" s="3"/>
      <c r="W2073" s="3"/>
      <c r="X2073" s="3"/>
      <c r="Y2073" s="3"/>
      <c r="Z2073" s="3"/>
    </row>
    <row r="2074" spans="1:26" ht="15.6" x14ac:dyDescent="0.3">
      <c r="A2074" s="18" t="s">
        <v>5</v>
      </c>
      <c r="B2074" s="24" t="s">
        <v>2072</v>
      </c>
      <c r="C2074" s="2" t="str">
        <f ca="1">IFERROR(__xludf.DUMMYFUNCTION("GOOGLETRANSLATE(B2074, ""bn"", ""en"")"),"In September 2019, a religious group expelled the minority from the school, killing 23 during the protests.")</f>
        <v>In September 2019, a religious group expelled the minority from the school, killing 23 during the protests.</v>
      </c>
      <c r="D2074" s="5"/>
      <c r="E2074" s="5"/>
      <c r="F2074" s="5"/>
      <c r="G2074" s="5"/>
      <c r="H2074" s="5"/>
      <c r="I2074" s="5"/>
      <c r="J2074" s="5"/>
      <c r="K2074" s="5"/>
      <c r="L2074" s="5"/>
      <c r="M2074" s="5"/>
      <c r="N2074" s="5"/>
      <c r="O2074" s="5"/>
      <c r="P2074" s="5"/>
      <c r="Q2074" s="5"/>
      <c r="R2074" s="5"/>
      <c r="S2074" s="5"/>
      <c r="T2074" s="5"/>
      <c r="U2074" s="5"/>
      <c r="V2074" s="5"/>
      <c r="W2074" s="5"/>
      <c r="X2074" s="5"/>
      <c r="Y2074" s="5"/>
      <c r="Z2074" s="5"/>
    </row>
    <row r="2075" spans="1:26" ht="15.6" x14ac:dyDescent="0.3">
      <c r="A2075" s="18" t="s">
        <v>23</v>
      </c>
      <c r="B2075" s="25" t="s">
        <v>2073</v>
      </c>
      <c r="C2075" s="2" t="str">
        <f ca="1">IFERROR(__xludf.DUMMYFUNCTION("GOOGLETRANSLATE(B2075, ""bn"", ""en"")"),"Everything about Islam is distasteful and absurd to them. So extramarital affairs, pornography, premarital sex, decency, fashion business, nudity, feminism - they are easily triggered by every talk I and Lifespring have on these topics.")</f>
        <v>Everything about Islam is distasteful and absurd to them. So extramarital affairs, pornography, premarital sex, decency, fashion business, nudity, feminism - they are easily triggered by every talk I and Lifespring have on these topics.</v>
      </c>
      <c r="D2075" s="6"/>
      <c r="E2075" s="2"/>
      <c r="F2075" s="2"/>
      <c r="G2075" s="2"/>
      <c r="H2075" s="3"/>
      <c r="I2075" s="3"/>
      <c r="J2075" s="3"/>
      <c r="K2075" s="3"/>
      <c r="L2075" s="3"/>
      <c r="M2075" s="3"/>
      <c r="N2075" s="3"/>
      <c r="O2075" s="3"/>
      <c r="P2075" s="3"/>
      <c r="Q2075" s="3"/>
      <c r="R2075" s="3"/>
      <c r="S2075" s="3"/>
      <c r="T2075" s="3"/>
      <c r="U2075" s="3"/>
      <c r="V2075" s="3"/>
      <c r="W2075" s="3"/>
      <c r="X2075" s="3"/>
      <c r="Y2075" s="3"/>
      <c r="Z2075" s="3"/>
    </row>
    <row r="2076" spans="1:26" ht="15.6" x14ac:dyDescent="0.3">
      <c r="A2076" s="18" t="s">
        <v>23</v>
      </c>
      <c r="B2076" s="25" t="s">
        <v>2074</v>
      </c>
      <c r="C2076" s="2" t="str">
        <f ca="1">IFERROR(__xludf.DUMMYFUNCTION("GOOGLETRANSLATE(B2076, ""bn"", ""en"")"),"Allah forgives but does not leave Taslima Nasreen is crippled by the wrath of Allah due to insulting the Qur'an Inshallah that person will not be spared from the wrath of Allah.")</f>
        <v>Allah forgives but does not leave Taslima Nasreen is crippled by the wrath of Allah due to insulting the Qur'an Inshallah that person will not be spared from the wrath of Allah.</v>
      </c>
      <c r="D2076" s="5"/>
      <c r="E2076" s="5"/>
      <c r="F2076" s="5"/>
      <c r="G2076" s="5"/>
      <c r="H2076" s="5"/>
      <c r="I2076" s="5"/>
      <c r="J2076" s="5"/>
      <c r="K2076" s="5"/>
      <c r="L2076" s="5"/>
      <c r="M2076" s="5"/>
      <c r="N2076" s="5"/>
      <c r="O2076" s="5"/>
      <c r="P2076" s="5"/>
      <c r="Q2076" s="5"/>
      <c r="R2076" s="5"/>
      <c r="S2076" s="5"/>
      <c r="T2076" s="5"/>
      <c r="U2076" s="5"/>
      <c r="V2076" s="5"/>
      <c r="W2076" s="5"/>
      <c r="X2076" s="5"/>
      <c r="Y2076" s="5"/>
      <c r="Z2076" s="5"/>
    </row>
    <row r="2077" spans="1:26" ht="15.6" x14ac:dyDescent="0.3">
      <c r="A2077" s="18" t="s">
        <v>23</v>
      </c>
      <c r="B2077" s="24" t="s">
        <v>881</v>
      </c>
      <c r="C2077" s="2" t="str">
        <f ca="1">IFERROR(__xludf.DUMMYFUNCTION("GOOGLETRANSLATE(B2077, ""bn"", ""en"")"),"Some people in the Christian community create division in the society in the name of conversion.")</f>
        <v>Some people in the Christian community create division in the society in the name of conversion.</v>
      </c>
      <c r="D2077" s="5"/>
      <c r="E2077" s="5"/>
      <c r="F2077" s="5"/>
      <c r="G2077" s="5"/>
      <c r="H2077" s="5"/>
      <c r="I2077" s="5"/>
      <c r="J2077" s="5"/>
      <c r="K2077" s="5"/>
      <c r="L2077" s="5"/>
      <c r="M2077" s="5"/>
      <c r="N2077" s="5"/>
      <c r="O2077" s="5"/>
      <c r="P2077" s="5"/>
      <c r="Q2077" s="5"/>
      <c r="R2077" s="5"/>
      <c r="S2077" s="5"/>
      <c r="T2077" s="5"/>
      <c r="U2077" s="5"/>
      <c r="V2077" s="5"/>
      <c r="W2077" s="5"/>
      <c r="X2077" s="5"/>
      <c r="Y2077" s="5"/>
      <c r="Z2077" s="5"/>
    </row>
    <row r="2078" spans="1:26" ht="15.6" x14ac:dyDescent="0.3">
      <c r="A2078" s="18" t="s">
        <v>8</v>
      </c>
      <c r="B2078" s="25" t="s">
        <v>2075</v>
      </c>
      <c r="C2078" s="2" t="str">
        <f ca="1">IFERROR(__xludf.DUMMYFUNCTION("GOOGLETRANSLATE(B2078, ""bn"", ""en"")"),"Hindus vandalized the houses of Muslims, women were brutally tortured.")</f>
        <v>Hindus vandalized the houses of Muslims, women were brutally tortured.</v>
      </c>
      <c r="D2078" s="2"/>
      <c r="E2078" s="2"/>
      <c r="F2078" s="2"/>
      <c r="G2078" s="2"/>
      <c r="H2078" s="5"/>
      <c r="I2078" s="5"/>
      <c r="J2078" s="5"/>
      <c r="K2078" s="5"/>
      <c r="L2078" s="5"/>
      <c r="M2078" s="5"/>
      <c r="N2078" s="5"/>
      <c r="O2078" s="5"/>
      <c r="P2078" s="5"/>
      <c r="Q2078" s="5"/>
      <c r="R2078" s="5"/>
      <c r="S2078" s="5"/>
      <c r="T2078" s="5"/>
      <c r="U2078" s="5"/>
      <c r="V2078" s="5"/>
      <c r="W2078" s="5"/>
      <c r="X2078" s="5"/>
      <c r="Y2078" s="5"/>
      <c r="Z2078" s="5"/>
    </row>
    <row r="2079" spans="1:26" ht="15.6" x14ac:dyDescent="0.3">
      <c r="A2079" s="18" t="s">
        <v>23</v>
      </c>
      <c r="B2079" s="25" t="s">
        <v>2076</v>
      </c>
      <c r="C2079" s="2" t="str">
        <f ca="1">IFERROR(__xludf.DUMMYFUNCTION("GOOGLETRANSLATE(B2079, ""bn"", ""en"")"),"A major reason for the growing violence against Muslims is the proliferation of Hindu-nationalist parties, which operate alongside or under the political umbrella of the Rashtriya Swayamsevak Sangh [6].")</f>
        <v>A major reason for the growing violence against Muslims is the proliferation of Hindu-nationalist parties, which operate alongside or under the political umbrella of the Rashtriya Swayamsevak Sangh [6].</v>
      </c>
      <c r="D2079" s="5"/>
      <c r="E2079" s="5"/>
      <c r="F2079" s="5"/>
      <c r="G2079" s="5"/>
      <c r="H2079" s="5"/>
      <c r="I2079" s="5"/>
      <c r="J2079" s="5"/>
      <c r="K2079" s="5"/>
      <c r="L2079" s="5"/>
      <c r="M2079" s="5"/>
      <c r="N2079" s="5"/>
      <c r="O2079" s="5"/>
      <c r="P2079" s="5"/>
      <c r="Q2079" s="5"/>
      <c r="R2079" s="5"/>
      <c r="S2079" s="5"/>
      <c r="T2079" s="5"/>
      <c r="U2079" s="5"/>
      <c r="V2079" s="5"/>
      <c r="W2079" s="5"/>
      <c r="X2079" s="5"/>
      <c r="Y2079" s="5"/>
      <c r="Z2079" s="5"/>
    </row>
    <row r="2080" spans="1:26" ht="15.6" x14ac:dyDescent="0.3">
      <c r="A2080" s="19" t="s">
        <v>3</v>
      </c>
      <c r="B2080" s="26" t="s">
        <v>2077</v>
      </c>
      <c r="C2080" s="2" t="str">
        <f ca="1">IFERROR(__xludf.DUMMYFUNCTION("GOOGLETRANSLATE(B2080, ""bn"", ""en"")"),"Christianity states that all people have the love of God and should show respect and compassion to each other, because God has shown love to all His creations equally, and this does not in any way lead to violence or hatred.")</f>
        <v>Christianity states that all people have the love of God and should show respect and compassion to each other, because God has shown love to all His creations equally, and this does not in any way lead to violence or hatred.</v>
      </c>
      <c r="D2080" s="7"/>
      <c r="E2080" s="7"/>
      <c r="F2080" s="7"/>
      <c r="G2080" s="7"/>
      <c r="H2080" s="5"/>
      <c r="I2080" s="5"/>
      <c r="J2080" s="5"/>
      <c r="K2080" s="5"/>
      <c r="L2080" s="5"/>
      <c r="M2080" s="5"/>
      <c r="N2080" s="5"/>
      <c r="O2080" s="5"/>
      <c r="P2080" s="5"/>
      <c r="Q2080" s="5"/>
      <c r="R2080" s="5"/>
      <c r="S2080" s="5"/>
      <c r="T2080" s="5"/>
      <c r="U2080" s="5"/>
      <c r="V2080" s="5"/>
      <c r="W2080" s="5"/>
      <c r="X2080" s="5"/>
      <c r="Y2080" s="5"/>
      <c r="Z2080" s="5"/>
    </row>
    <row r="2081" spans="1:26" ht="15.6" x14ac:dyDescent="0.3">
      <c r="A2081" s="18" t="s">
        <v>8</v>
      </c>
      <c r="B2081" s="24" t="s">
        <v>2078</v>
      </c>
      <c r="C2081" s="2" t="str">
        <f ca="1">IFERROR(__xludf.DUMMYFUNCTION("GOOGLETRANSLATE(B2081, ""bn"", ""en"")"),"On December 4, 2023, the Radhakrishna Temple at Barura, Comilla was broken into and the idol was set on fire.")</f>
        <v>On December 4, 2023, the Radhakrishna Temple at Barura, Comilla was broken into and the idol was set on fire.</v>
      </c>
      <c r="D2081" s="5"/>
      <c r="E2081" s="5"/>
      <c r="F2081" s="5"/>
      <c r="G2081" s="5"/>
      <c r="H2081" s="5"/>
      <c r="I2081" s="5"/>
      <c r="J2081" s="5"/>
      <c r="K2081" s="5"/>
      <c r="L2081" s="5"/>
      <c r="M2081" s="5"/>
      <c r="N2081" s="5"/>
      <c r="O2081" s="5"/>
      <c r="P2081" s="5"/>
      <c r="Q2081" s="5"/>
      <c r="R2081" s="5"/>
      <c r="S2081" s="5"/>
      <c r="T2081" s="5"/>
      <c r="U2081" s="5"/>
      <c r="V2081" s="5"/>
      <c r="W2081" s="5"/>
      <c r="X2081" s="5"/>
      <c r="Y2081" s="5"/>
      <c r="Z2081" s="5"/>
    </row>
    <row r="2082" spans="1:26" ht="15.6" x14ac:dyDescent="0.3">
      <c r="A2082" s="18" t="s">
        <v>5</v>
      </c>
      <c r="B2082" s="24" t="s">
        <v>2079</v>
      </c>
      <c r="C2082" s="2" t="str">
        <f ca="1">IFERROR(__xludf.DUMMYFUNCTION("GOOGLETRANSLATE(B2082, ""bn"", ""en"")"),"In February 2017, a group attacked an artist's exhibition for allegedly offending religious sentiments, fatally injuring him, killing 16 others.")</f>
        <v>In February 2017, a group attacked an artist's exhibition for allegedly offending religious sentiments, fatally injuring him, killing 16 others.</v>
      </c>
      <c r="D2082" s="5"/>
      <c r="E2082" s="5"/>
      <c r="F2082" s="5"/>
      <c r="G2082" s="5"/>
      <c r="H2082" s="5"/>
      <c r="I2082" s="5"/>
      <c r="J2082" s="5"/>
      <c r="K2082" s="5"/>
      <c r="L2082" s="5"/>
      <c r="M2082" s="5"/>
      <c r="N2082" s="5"/>
      <c r="O2082" s="5"/>
      <c r="P2082" s="5"/>
      <c r="Q2082" s="5"/>
      <c r="R2082" s="5"/>
      <c r="S2082" s="5"/>
      <c r="T2082" s="5"/>
      <c r="U2082" s="5"/>
      <c r="V2082" s="5"/>
      <c r="W2082" s="5"/>
      <c r="X2082" s="5"/>
      <c r="Y2082" s="5"/>
      <c r="Z2082" s="5"/>
    </row>
    <row r="2083" spans="1:26" ht="15.6" x14ac:dyDescent="0.3">
      <c r="A2083" s="18" t="s">
        <v>23</v>
      </c>
      <c r="B2083" s="25" t="s">
        <v>2080</v>
      </c>
      <c r="C2083" s="2" t="str">
        <f ca="1">IFERROR(__xludf.DUMMYFUNCTION("GOOGLETRANSLATE(B2083, ""bn"", ""en"")"),"Any allegation of blasphemy, whether true or false, easily offends these people.")</f>
        <v>Any allegation of blasphemy, whether true or false, easily offends these people.</v>
      </c>
      <c r="D2083" s="2"/>
      <c r="E2083" s="2"/>
      <c r="F2083" s="2"/>
      <c r="G2083" s="2"/>
      <c r="H2083" s="3"/>
      <c r="I2083" s="3"/>
      <c r="J2083" s="3"/>
      <c r="K2083" s="3"/>
      <c r="L2083" s="3"/>
      <c r="M2083" s="3"/>
      <c r="N2083" s="3"/>
      <c r="O2083" s="3"/>
      <c r="P2083" s="3"/>
      <c r="Q2083" s="3"/>
      <c r="R2083" s="3"/>
      <c r="S2083" s="3"/>
      <c r="T2083" s="3"/>
      <c r="U2083" s="3"/>
      <c r="V2083" s="3"/>
      <c r="W2083" s="3"/>
      <c r="X2083" s="3"/>
      <c r="Y2083" s="3"/>
      <c r="Z2083" s="3"/>
    </row>
    <row r="2084" spans="1:26" ht="15.6" x14ac:dyDescent="0.3">
      <c r="A2084" s="19" t="s">
        <v>3</v>
      </c>
      <c r="B2084" s="26" t="s">
        <v>2081</v>
      </c>
      <c r="C2084" s="2" t="str">
        <f ca="1">IFERROR(__xludf.DUMMYFUNCTION("GOOGLETRANSLATE(B2084, ""bn"", ""en"")"),"Rabbinic literature provides the traditional concept of angels and the punishment of the dead, where evil spirits are punished by special angels.")</f>
        <v>Rabbinic literature provides the traditional concept of angels and the punishment of the dead, where evil spirits are punished by special angels.</v>
      </c>
      <c r="D2084" s="7"/>
      <c r="E2084" s="7"/>
      <c r="F2084" s="7"/>
      <c r="G2084" s="7"/>
      <c r="H2084" s="7"/>
      <c r="I2084" s="7"/>
      <c r="J2084" s="7"/>
      <c r="K2084" s="5"/>
      <c r="L2084" s="5"/>
      <c r="M2084" s="5"/>
      <c r="N2084" s="5"/>
      <c r="O2084" s="5"/>
      <c r="P2084" s="5"/>
      <c r="Q2084" s="5"/>
      <c r="R2084" s="5"/>
      <c r="S2084" s="5"/>
      <c r="T2084" s="5"/>
      <c r="U2084" s="5"/>
      <c r="V2084" s="5"/>
      <c r="W2084" s="5"/>
      <c r="X2084" s="5"/>
      <c r="Y2084" s="5"/>
      <c r="Z2084" s="5"/>
    </row>
    <row r="2085" spans="1:26" ht="15.6" x14ac:dyDescent="0.3">
      <c r="A2085" s="18" t="s">
        <v>8</v>
      </c>
      <c r="B2085" s="25" t="s">
        <v>2082</v>
      </c>
      <c r="C2085" s="2" t="str">
        <f ca="1">IFERROR(__xludf.DUMMYFUNCTION("GOOGLETRANSLATE(B2085, ""bn"", ""en"")"),"""Since the attack, women, children and youths are not staying in our houses in the village. They are staying in relatives' houses in other areas. Old men are now only in houses.""")</f>
        <v>"Since the attack, women, children and youths are not staying in our houses in the village. They are staying in relatives' houses in other areas. Old men are now only in houses."</v>
      </c>
      <c r="D2085" s="2"/>
      <c r="E2085" s="2"/>
      <c r="F2085" s="2"/>
      <c r="G2085" s="2"/>
      <c r="H2085" s="5"/>
      <c r="I2085" s="5"/>
      <c r="J2085" s="5"/>
      <c r="K2085" s="5"/>
      <c r="L2085" s="5"/>
      <c r="M2085" s="5"/>
      <c r="N2085" s="5"/>
      <c r="O2085" s="5"/>
      <c r="P2085" s="5"/>
      <c r="Q2085" s="5"/>
      <c r="R2085" s="5"/>
      <c r="S2085" s="5"/>
      <c r="T2085" s="5"/>
      <c r="U2085" s="5"/>
      <c r="V2085" s="5"/>
      <c r="W2085" s="5"/>
      <c r="X2085" s="5"/>
      <c r="Y2085" s="5"/>
      <c r="Z2085" s="5"/>
    </row>
    <row r="2086" spans="1:26" ht="15.6" x14ac:dyDescent="0.3">
      <c r="A2086" s="19" t="s">
        <v>23</v>
      </c>
      <c r="B2086" s="26" t="s">
        <v>2083</v>
      </c>
      <c r="C2086" s="2" t="str">
        <f ca="1">IFERROR(__xludf.DUMMYFUNCTION("GOOGLETRANSLATE(B2086, ""bn"", ""en"")"),"You read the headlines and details carefully in the newspaper. Why should the mosque be in the temple area? Is there a lack of space?")</f>
        <v>You read the headlines and details carefully in the newspaper. Why should the mosque be in the temple area? Is there a lack of space?</v>
      </c>
      <c r="D2086" s="5"/>
      <c r="E2086" s="5"/>
      <c r="F2086" s="5"/>
      <c r="G2086" s="5"/>
      <c r="H2086" s="5"/>
      <c r="I2086" s="5"/>
      <c r="J2086" s="5"/>
      <c r="K2086" s="5"/>
      <c r="L2086" s="5"/>
      <c r="M2086" s="5"/>
      <c r="N2086" s="5"/>
      <c r="O2086" s="5"/>
      <c r="P2086" s="5"/>
      <c r="Q2086" s="5"/>
      <c r="R2086" s="5"/>
      <c r="S2086" s="5"/>
      <c r="T2086" s="5"/>
      <c r="U2086" s="5"/>
      <c r="V2086" s="5"/>
      <c r="W2086" s="5"/>
      <c r="X2086" s="5"/>
      <c r="Y2086" s="5"/>
      <c r="Z2086" s="5"/>
    </row>
    <row r="2087" spans="1:26" ht="15.6" x14ac:dyDescent="0.3">
      <c r="A2087" s="18" t="s">
        <v>23</v>
      </c>
      <c r="B2087" s="25" t="s">
        <v>2084</v>
      </c>
      <c r="C2087" s="2" t="str">
        <f ca="1">IFERROR(__xludf.DUMMYFUNCTION("GOOGLETRANSLATE(B2087, ""bn"", ""en"")"),"Religious extremism and communal violence erupted in Ramu, a beach town in Cox's Bazar district, on 29 September 2012 after a photo was tagged on Facebook.")</f>
        <v>Religious extremism and communal violence erupted in Ramu, a beach town in Cox's Bazar district, on 29 September 2012 after a photo was tagged on Facebook.</v>
      </c>
      <c r="D2087" s="2"/>
      <c r="E2087" s="2"/>
      <c r="F2087" s="2"/>
      <c r="G2087" s="2"/>
      <c r="H2087" s="5"/>
      <c r="I2087" s="5"/>
      <c r="J2087" s="5"/>
      <c r="K2087" s="5"/>
      <c r="L2087" s="5"/>
      <c r="M2087" s="5"/>
      <c r="N2087" s="5"/>
      <c r="O2087" s="5"/>
      <c r="P2087" s="5"/>
      <c r="Q2087" s="5"/>
      <c r="R2087" s="5"/>
      <c r="S2087" s="5"/>
      <c r="T2087" s="5"/>
      <c r="U2087" s="5"/>
      <c r="V2087" s="5"/>
      <c r="W2087" s="5"/>
      <c r="X2087" s="5"/>
      <c r="Y2087" s="5"/>
      <c r="Z2087" s="5"/>
    </row>
    <row r="2088" spans="1:26" ht="15.6" x14ac:dyDescent="0.3">
      <c r="A2088" s="19" t="s">
        <v>8</v>
      </c>
      <c r="B2088" s="26" t="s">
        <v>2085</v>
      </c>
      <c r="C2088" s="2" t="str">
        <f ca="1">IFERROR(__xludf.DUMMYFUNCTION("GOOGLETRANSLATE(B2088, ""bn"", ""en"")"),"A group of miscreants burnt a religious symbol installed in a new Buddhist monastery in Khagrachari.")</f>
        <v>A group of miscreants burnt a religious symbol installed in a new Buddhist monastery in Khagrachari.</v>
      </c>
      <c r="D2088" s="5"/>
      <c r="E2088" s="5"/>
      <c r="F2088" s="5"/>
      <c r="G2088" s="5"/>
      <c r="H2088" s="5"/>
      <c r="I2088" s="5"/>
      <c r="J2088" s="5"/>
      <c r="K2088" s="5"/>
      <c r="L2088" s="5"/>
      <c r="M2088" s="5"/>
      <c r="N2088" s="5"/>
      <c r="O2088" s="5"/>
      <c r="P2088" s="5"/>
      <c r="Q2088" s="5"/>
      <c r="R2088" s="5"/>
      <c r="S2088" s="5"/>
      <c r="T2088" s="5"/>
      <c r="U2088" s="5"/>
      <c r="V2088" s="5"/>
      <c r="W2088" s="5"/>
      <c r="X2088" s="5"/>
      <c r="Y2088" s="5"/>
      <c r="Z2088" s="5"/>
    </row>
    <row r="2089" spans="1:26" ht="15.6" x14ac:dyDescent="0.3">
      <c r="A2089" s="18" t="s">
        <v>5</v>
      </c>
      <c r="B2089" s="24" t="s">
        <v>2086</v>
      </c>
      <c r="C2089" s="2" t="str">
        <f ca="1">IFERROR(__xludf.DUMMYFUNCTION("GOOGLETRANSLATE(B2089, ""bn"", ""en"")"),"In February 2021, an attack on a Christian temple killed 28 people, causing widespread vandalism.")</f>
        <v>In February 2021, an attack on a Christian temple killed 28 people, causing widespread vandalism.</v>
      </c>
      <c r="D2089" s="5"/>
      <c r="E2089" s="5"/>
      <c r="F2089" s="5"/>
      <c r="G2089" s="5"/>
      <c r="H2089" s="5"/>
      <c r="I2089" s="5"/>
      <c r="J2089" s="5"/>
      <c r="K2089" s="5"/>
      <c r="L2089" s="5"/>
      <c r="M2089" s="5"/>
      <c r="N2089" s="5"/>
      <c r="O2089" s="5"/>
      <c r="P2089" s="5"/>
      <c r="Q2089" s="5"/>
      <c r="R2089" s="5"/>
      <c r="S2089" s="5"/>
      <c r="T2089" s="5"/>
      <c r="U2089" s="5"/>
      <c r="V2089" s="5"/>
      <c r="W2089" s="5"/>
      <c r="X2089" s="5"/>
      <c r="Y2089" s="5"/>
      <c r="Z2089" s="5"/>
    </row>
    <row r="2090" spans="1:26" ht="15.6" x14ac:dyDescent="0.3">
      <c r="A2090" s="19" t="s">
        <v>23</v>
      </c>
      <c r="B2090" s="26" t="s">
        <v>2087</v>
      </c>
      <c r="C2090" s="2" t="str">
        <f ca="1">IFERROR(__xludf.DUMMYFUNCTION("GOOGLETRANSLATE(B2090, ""bn"", ""en"")"),"The brave freedom fighters never opposed Islam; Some reputed leftists are involved in such misdeeds in the guise of so-called freedom fighters.")</f>
        <v>The brave freedom fighters never opposed Islam; Some reputed leftists are involved in such misdeeds in the guise of so-called freedom fighters.</v>
      </c>
      <c r="D2090" s="7"/>
      <c r="E2090" s="7"/>
      <c r="F2090" s="7"/>
      <c r="G2090" s="7"/>
      <c r="H2090" s="7"/>
      <c r="I2090" s="7"/>
      <c r="J2090" s="5"/>
      <c r="K2090" s="5"/>
      <c r="L2090" s="5"/>
      <c r="M2090" s="5"/>
      <c r="N2090" s="5"/>
      <c r="O2090" s="5"/>
      <c r="P2090" s="5"/>
      <c r="Q2090" s="5"/>
      <c r="R2090" s="5"/>
      <c r="S2090" s="5"/>
      <c r="T2090" s="5"/>
      <c r="U2090" s="5"/>
      <c r="V2090" s="5"/>
      <c r="W2090" s="5"/>
      <c r="X2090" s="5"/>
      <c r="Y2090" s="5"/>
      <c r="Z2090" s="5"/>
    </row>
    <row r="2091" spans="1:26" ht="15.6" x14ac:dyDescent="0.3">
      <c r="A2091" s="19" t="s">
        <v>3</v>
      </c>
      <c r="B2091" s="26" t="s">
        <v>2088</v>
      </c>
      <c r="C2091" s="2" t="str">
        <f ca="1">IFERROR(__xludf.DUMMYFUNCTION("GOOGLETRANSLATE(B2091, ""bn"", ""en"")"),"May Allah reward you well for such a beautiful discussion about the Qur'an")</f>
        <v>May Allah reward you well for such a beautiful discussion about the Qur'an</v>
      </c>
      <c r="D2091" s="5"/>
      <c r="E2091" s="5"/>
      <c r="F2091" s="5"/>
      <c r="G2091" s="5"/>
      <c r="H2091" s="5"/>
      <c r="I2091" s="5"/>
      <c r="J2091" s="5"/>
      <c r="K2091" s="5"/>
      <c r="L2091" s="5"/>
      <c r="M2091" s="5"/>
      <c r="N2091" s="5"/>
      <c r="O2091" s="5"/>
      <c r="P2091" s="5"/>
      <c r="Q2091" s="5"/>
      <c r="R2091" s="5"/>
      <c r="S2091" s="5"/>
      <c r="T2091" s="5"/>
      <c r="U2091" s="5"/>
      <c r="V2091" s="5"/>
      <c r="W2091" s="5"/>
      <c r="X2091" s="5"/>
      <c r="Y2091" s="5"/>
      <c r="Z2091" s="5"/>
    </row>
    <row r="2092" spans="1:26" ht="15.6" x14ac:dyDescent="0.3">
      <c r="A2092" s="18" t="s">
        <v>5</v>
      </c>
      <c r="B2092" s="24" t="s">
        <v>2089</v>
      </c>
      <c r="C2092" s="2" t="str">
        <f ca="1">IFERROR(__xludf.DUMMYFUNCTION("GOOGLETRANSLATE(B2092, ""bn"", ""en"")"),"A group attacked religious dissidents, killing 21.")</f>
        <v>A group attacked religious dissidents, killing 21.</v>
      </c>
      <c r="D2092" s="5"/>
      <c r="E2092" s="5"/>
      <c r="F2092" s="5"/>
      <c r="G2092" s="5"/>
      <c r="H2092" s="5"/>
      <c r="I2092" s="5"/>
      <c r="J2092" s="5"/>
      <c r="K2092" s="5"/>
      <c r="L2092" s="5"/>
      <c r="M2092" s="5"/>
      <c r="N2092" s="5"/>
      <c r="O2092" s="5"/>
      <c r="P2092" s="5"/>
      <c r="Q2092" s="5"/>
      <c r="R2092" s="5"/>
      <c r="S2092" s="5"/>
      <c r="T2092" s="5"/>
      <c r="U2092" s="5"/>
      <c r="V2092" s="5"/>
      <c r="W2092" s="5"/>
      <c r="X2092" s="5"/>
      <c r="Y2092" s="5"/>
      <c r="Z2092" s="5"/>
    </row>
    <row r="2093" spans="1:26" ht="15.6" x14ac:dyDescent="0.3">
      <c r="A2093" s="18" t="s">
        <v>8</v>
      </c>
      <c r="B2093" s="24" t="s">
        <v>2090</v>
      </c>
      <c r="C2093" s="2" t="str">
        <f ca="1">IFERROR(__xludf.DUMMYFUNCTION("GOOGLETRANSLATE(B2093, ""bn"", ""en"")"),"On 6 June 2023, a small Durga temple in Chittagong's Banshkhali was attacked and the idols of Durga and Karthik were vandalized and religious threats were written on the walls of the temple.")</f>
        <v>On 6 June 2023, a small Durga temple in Chittagong's Banshkhali was attacked and the idols of Durga and Karthik were vandalized and religious threats were written on the walls of the temple.</v>
      </c>
      <c r="D2093" s="5"/>
      <c r="E2093" s="5"/>
      <c r="F2093" s="5"/>
      <c r="G2093" s="5"/>
      <c r="H2093" s="5"/>
      <c r="I2093" s="5"/>
      <c r="J2093" s="5"/>
      <c r="K2093" s="5"/>
      <c r="L2093" s="5"/>
      <c r="M2093" s="5"/>
      <c r="N2093" s="5"/>
      <c r="O2093" s="5"/>
      <c r="P2093" s="5"/>
      <c r="Q2093" s="5"/>
      <c r="R2093" s="5"/>
      <c r="S2093" s="5"/>
      <c r="T2093" s="5"/>
      <c r="U2093" s="5"/>
      <c r="V2093" s="5"/>
      <c r="W2093" s="5"/>
      <c r="X2093" s="5"/>
      <c r="Y2093" s="5"/>
      <c r="Z2093" s="5"/>
    </row>
    <row r="2094" spans="1:26" ht="15.6" x14ac:dyDescent="0.3">
      <c r="A2094" s="19" t="s">
        <v>8</v>
      </c>
      <c r="B2094" s="26" t="s">
        <v>2091</v>
      </c>
      <c r="C2094" s="2" t="str">
        <f ca="1">IFERROR(__xludf.DUMMYFUNCTION("GOOGLETRANSLATE(B2094, ""bn"", ""en"")"),"Prabir Kumar Biswas, President of Central Hari Mandir and President of Upazila Puja Celebration Committee, told Prothom Alo that three temple idols were vandalized between 1:00 AM on Friday and 6:00 AM on Saturday.")</f>
        <v>Prabir Kumar Biswas, President of Central Hari Mandir and President of Upazila Puja Celebration Committee, told Prothom Alo that three temple idols were vandalized between 1:00 AM on Friday and 6:00 AM on Saturday.</v>
      </c>
      <c r="D2094" s="5"/>
      <c r="E2094" s="5"/>
      <c r="F2094" s="5"/>
      <c r="G2094" s="5"/>
      <c r="H2094" s="5"/>
      <c r="I2094" s="5"/>
      <c r="J2094" s="5"/>
      <c r="K2094" s="5"/>
      <c r="L2094" s="5"/>
      <c r="M2094" s="5"/>
      <c r="N2094" s="5"/>
      <c r="O2094" s="5"/>
      <c r="P2094" s="5"/>
      <c r="Q2094" s="5"/>
      <c r="R2094" s="5"/>
      <c r="S2094" s="5"/>
      <c r="T2094" s="5"/>
      <c r="U2094" s="5"/>
      <c r="V2094" s="5"/>
      <c r="W2094" s="5"/>
      <c r="X2094" s="5"/>
      <c r="Y2094" s="5"/>
      <c r="Z2094" s="5"/>
    </row>
    <row r="2095" spans="1:26" ht="15.6" x14ac:dyDescent="0.3">
      <c r="A2095" s="18" t="s">
        <v>23</v>
      </c>
      <c r="B2095" s="25" t="s">
        <v>2092</v>
      </c>
      <c r="C2095" s="2" t="str">
        <f ca="1">IFERROR(__xludf.DUMMYFUNCTION("GOOGLETRANSLATE(B2095, ""bn"", ""en"")"),"This is the only thing that comes to mind. Why this Taliban regime, who are the patrons of this hideous Muslim fundamentalism. More disappointing - not a single country in the entire developed world has taken any action against it.")</f>
        <v>This is the only thing that comes to mind. Why this Taliban regime, who are the patrons of this hideous Muslim fundamentalism. More disappointing - not a single country in the entire developed world has taken any action against it.</v>
      </c>
      <c r="D2095" s="5"/>
      <c r="E2095" s="5"/>
      <c r="F2095" s="5"/>
      <c r="G2095" s="5"/>
      <c r="H2095" s="5"/>
      <c r="I2095" s="5"/>
      <c r="J2095" s="5"/>
      <c r="K2095" s="5"/>
      <c r="L2095" s="5"/>
      <c r="M2095" s="5"/>
      <c r="N2095" s="5"/>
      <c r="O2095" s="5"/>
      <c r="P2095" s="5"/>
      <c r="Q2095" s="5"/>
      <c r="R2095" s="5"/>
      <c r="S2095" s="5"/>
      <c r="T2095" s="5"/>
      <c r="U2095" s="5"/>
      <c r="V2095" s="5"/>
      <c r="W2095" s="5"/>
      <c r="X2095" s="5"/>
      <c r="Y2095" s="5"/>
      <c r="Z2095" s="5"/>
    </row>
    <row r="2096" spans="1:26" ht="15.6" x14ac:dyDescent="0.3">
      <c r="A2096" s="19" t="s">
        <v>3</v>
      </c>
      <c r="B2096" s="26" t="s">
        <v>2093</v>
      </c>
      <c r="C2096" s="2" t="str">
        <f ca="1">IFERROR(__xludf.DUMMYFUNCTION("GOOGLETRANSLATE(B2096, ""bn"", ""en"")"),"Do not sit in the class without bringing back your sir, inshallah. This injustice will be with this teacher today and tomorrow will be with you!")</f>
        <v>Do not sit in the class without bringing back your sir, inshallah. This injustice will be with this teacher today and tomorrow will be with you!</v>
      </c>
      <c r="D2096" s="5"/>
      <c r="E2096" s="5"/>
      <c r="F2096" s="5"/>
      <c r="G2096" s="5"/>
      <c r="H2096" s="5"/>
      <c r="I2096" s="5"/>
      <c r="J2096" s="5"/>
      <c r="K2096" s="5"/>
      <c r="L2096" s="5"/>
      <c r="M2096" s="5"/>
      <c r="N2096" s="5"/>
      <c r="O2096" s="5"/>
      <c r="P2096" s="5"/>
      <c r="Q2096" s="5"/>
      <c r="R2096" s="5"/>
      <c r="S2096" s="5"/>
      <c r="T2096" s="5"/>
      <c r="U2096" s="5"/>
      <c r="V2096" s="5"/>
      <c r="W2096" s="5"/>
      <c r="X2096" s="5"/>
      <c r="Y2096" s="5"/>
      <c r="Z2096" s="5"/>
    </row>
    <row r="2097" spans="1:26" ht="15.6" x14ac:dyDescent="0.3">
      <c r="A2097" s="18" t="s">
        <v>3</v>
      </c>
      <c r="B2097" s="25" t="s">
        <v>2094</v>
      </c>
      <c r="C2097" s="2" t="str">
        <f ca="1">IFERROR(__xludf.DUMMYFUNCTION("GOOGLETRANSLATE(B2097, ""bn"", ""en"")"),"We discourage mass gatherings. We encourage those who are sick, elderly and those who have recently returned from abroad to pray in congregation in mosques.")</f>
        <v>We discourage mass gatherings. We encourage those who are sick, elderly and those who have recently returned from abroad to pray in congregation in mosques.</v>
      </c>
      <c r="D2097" s="2"/>
      <c r="E2097" s="2"/>
      <c r="F2097" s="2"/>
      <c r="G2097" s="2"/>
      <c r="H2097" s="3"/>
      <c r="I2097" s="3"/>
      <c r="J2097" s="3"/>
      <c r="K2097" s="3"/>
      <c r="L2097" s="3"/>
      <c r="M2097" s="3"/>
      <c r="N2097" s="3"/>
      <c r="O2097" s="3"/>
      <c r="P2097" s="3"/>
      <c r="Q2097" s="3"/>
      <c r="R2097" s="3"/>
      <c r="S2097" s="3"/>
      <c r="T2097" s="3"/>
      <c r="U2097" s="3"/>
      <c r="V2097" s="3"/>
      <c r="W2097" s="3"/>
      <c r="X2097" s="3"/>
      <c r="Y2097" s="3"/>
      <c r="Z2097" s="3"/>
    </row>
    <row r="2098" spans="1:26" ht="15.6" x14ac:dyDescent="0.3">
      <c r="A2098" s="18" t="s">
        <v>3</v>
      </c>
      <c r="B2098" s="25" t="s">
        <v>2095</v>
      </c>
      <c r="C2098" s="2" t="str">
        <f ca="1">IFERROR(__xludf.DUMMYFUNCTION("GOOGLETRANSLATE(B2098, ""bn"", ""en"")"),"When a Hindu person dies, the last rites have to be performed for the sake of the soul of the deceased. There are three stages of cremation. 1. Donation; 2. Pindlep and 3. water donation")</f>
        <v>When a Hindu person dies, the last rites have to be performed for the sake of the soul of the deceased. There are three stages of cremation. 1. Donation; 2. Pindlep and 3. water donation</v>
      </c>
      <c r="D2098" s="7"/>
      <c r="E2098" s="7"/>
      <c r="F2098" s="7"/>
      <c r="G2098" s="7"/>
      <c r="H2098" s="5"/>
      <c r="I2098" s="5"/>
      <c r="J2098" s="5"/>
      <c r="K2098" s="5"/>
      <c r="L2098" s="5"/>
      <c r="M2098" s="5"/>
      <c r="N2098" s="5"/>
      <c r="O2098" s="5"/>
      <c r="P2098" s="5"/>
      <c r="Q2098" s="5"/>
      <c r="R2098" s="5"/>
      <c r="S2098" s="5"/>
      <c r="T2098" s="5"/>
      <c r="U2098" s="5"/>
      <c r="V2098" s="5"/>
      <c r="W2098" s="5"/>
      <c r="X2098" s="5"/>
      <c r="Y2098" s="5"/>
      <c r="Z2098" s="5"/>
    </row>
    <row r="2099" spans="1:26" ht="15.6" x14ac:dyDescent="0.3">
      <c r="A2099" s="18" t="s">
        <v>5</v>
      </c>
      <c r="B2099" s="24" t="s">
        <v>2096</v>
      </c>
      <c r="C2099" s="2" t="str">
        <f ca="1">IFERROR(__xludf.DUMMYFUNCTION("GOOGLETRANSLATE(B2099, ""bn"", ""en"")"),"A tribal Christian girl is forced to convert and get married. His father was killed by being tied to a tree for protesting. Total killed: 2 people.")</f>
        <v>A tribal Christian girl is forced to convert and get married. His father was killed by being tied to a tree for protesting. Total killed: 2 people.</v>
      </c>
      <c r="D2099" s="5"/>
      <c r="E2099" s="5"/>
      <c r="F2099" s="5"/>
      <c r="G2099" s="5"/>
      <c r="H2099" s="5"/>
      <c r="I2099" s="5"/>
      <c r="J2099" s="5"/>
      <c r="K2099" s="5"/>
      <c r="L2099" s="5"/>
      <c r="M2099" s="5"/>
      <c r="N2099" s="5"/>
      <c r="O2099" s="5"/>
      <c r="P2099" s="5"/>
      <c r="Q2099" s="5"/>
      <c r="R2099" s="5"/>
      <c r="S2099" s="5"/>
      <c r="T2099" s="5"/>
      <c r="U2099" s="5"/>
      <c r="V2099" s="5"/>
      <c r="W2099" s="5"/>
      <c r="X2099" s="5"/>
      <c r="Y2099" s="5"/>
      <c r="Z2099" s="5"/>
    </row>
    <row r="2100" spans="1:26" ht="15.6" x14ac:dyDescent="0.3">
      <c r="A2100" s="19" t="s">
        <v>8</v>
      </c>
      <c r="B2100" s="26" t="s">
        <v>2097</v>
      </c>
      <c r="C2100" s="2" t="str">
        <f ca="1">IFERROR(__xludf.DUMMYFUNCTION("GOOGLETRANSLATE(B2100, ""bn"", ""en"")"),"Many would agree with me that the worst man-made disaster in the world today is violent religious terrorism or hidden religious racism. Today the sky of Bengal is also covered with its poisonous smoke.")</f>
        <v>Many would agree with me that the worst man-made disaster in the world today is violent religious terrorism or hidden religious racism. Today the sky of Bengal is also covered with its poisonous smoke.</v>
      </c>
      <c r="D2100" s="5"/>
      <c r="E2100" s="5"/>
      <c r="F2100" s="5"/>
      <c r="G2100" s="5"/>
      <c r="H2100" s="5"/>
      <c r="I2100" s="5"/>
      <c r="J2100" s="5"/>
      <c r="K2100" s="5"/>
      <c r="L2100" s="5"/>
      <c r="M2100" s="5"/>
      <c r="N2100" s="5"/>
      <c r="O2100" s="5"/>
      <c r="P2100" s="5"/>
      <c r="Q2100" s="5"/>
      <c r="R2100" s="5"/>
      <c r="S2100" s="5"/>
      <c r="T2100" s="5"/>
      <c r="U2100" s="5"/>
      <c r="V2100" s="5"/>
      <c r="W2100" s="5"/>
      <c r="X2100" s="5"/>
      <c r="Y2100" s="5"/>
      <c r="Z2100" s="5"/>
    </row>
    <row r="2101" spans="1:26" ht="15.6" x14ac:dyDescent="0.3">
      <c r="A2101" s="19" t="s">
        <v>8</v>
      </c>
      <c r="B2101" s="26" t="s">
        <v>2098</v>
      </c>
      <c r="C2101" s="2" t="str">
        <f ca="1">IFERROR(__xludf.DUMMYFUNCTION("GOOGLETRANSLATE(B2101, ""bn"", ""en"")"),"In Meherpur, violent mobs ransacked and looted minority villages all night after complaining about religious caricatures on Facebook.")</f>
        <v>In Meherpur, violent mobs ransacked and looted minority villages all night after complaining about religious caricatures on Facebook.</v>
      </c>
      <c r="D2101" s="5"/>
      <c r="E2101" s="5"/>
      <c r="F2101" s="5"/>
      <c r="G2101" s="5"/>
      <c r="H2101" s="5"/>
      <c r="I2101" s="5"/>
      <c r="J2101" s="5"/>
      <c r="K2101" s="5"/>
      <c r="L2101" s="5"/>
      <c r="M2101" s="5"/>
      <c r="N2101" s="5"/>
      <c r="O2101" s="5"/>
      <c r="P2101" s="5"/>
      <c r="Q2101" s="5"/>
      <c r="R2101" s="5"/>
      <c r="S2101" s="5"/>
      <c r="T2101" s="5"/>
      <c r="U2101" s="5"/>
      <c r="V2101" s="5"/>
      <c r="W2101" s="5"/>
      <c r="X2101" s="5"/>
      <c r="Y2101" s="5"/>
      <c r="Z2101" s="5"/>
    </row>
    <row r="2102" spans="1:26" ht="15.6" x14ac:dyDescent="0.3">
      <c r="A2102" s="18" t="s">
        <v>23</v>
      </c>
      <c r="B2102" s="25" t="s">
        <v>2099</v>
      </c>
      <c r="C2102" s="2" t="str">
        <f ca="1">IFERROR(__xludf.DUMMYFUNCTION("GOOGLETRANSLATE(B2102, ""bn"", ""en"")"),"This anti-Islamic government will stop all obligatory duties one by one, their aim is to suppress Muslims.")</f>
        <v>This anti-Islamic government will stop all obligatory duties one by one, their aim is to suppress Muslims.</v>
      </c>
      <c r="D2102" s="5"/>
      <c r="E2102" s="5"/>
      <c r="F2102" s="5"/>
      <c r="G2102" s="5"/>
      <c r="H2102" s="5"/>
      <c r="I2102" s="5"/>
      <c r="J2102" s="5"/>
      <c r="K2102" s="5"/>
      <c r="L2102" s="5"/>
      <c r="M2102" s="5"/>
      <c r="N2102" s="5"/>
      <c r="O2102" s="5"/>
      <c r="P2102" s="5"/>
      <c r="Q2102" s="5"/>
      <c r="R2102" s="5"/>
      <c r="S2102" s="5"/>
      <c r="T2102" s="5"/>
      <c r="U2102" s="5"/>
      <c r="V2102" s="5"/>
      <c r="W2102" s="5"/>
      <c r="X2102" s="5"/>
      <c r="Y2102" s="5"/>
      <c r="Z2102" s="5"/>
    </row>
    <row r="2103" spans="1:26" ht="15.6" x14ac:dyDescent="0.3">
      <c r="A2103" s="18" t="s">
        <v>5</v>
      </c>
      <c r="B2103" s="25" t="s">
        <v>2100</v>
      </c>
      <c r="C2103" s="2" t="str">
        <f ca="1">IFERROR(__xludf.DUMMYFUNCTION("GOOGLETRANSLATE(B2103, ""bn"", ""en"")"),"A teacher was beheaded for allegedly hurting religious sentiments. This brutal killing has become a horrific example of atrocities in the name of religion that brings to the fore the deep crisis of religious violence.")</f>
        <v>A teacher was beheaded for allegedly hurting religious sentiments. This brutal killing has become a horrific example of atrocities in the name of religion that brings to the fore the deep crisis of religious violence.</v>
      </c>
      <c r="D2103" s="5"/>
      <c r="E2103" s="5"/>
      <c r="F2103" s="5"/>
      <c r="G2103" s="5"/>
      <c r="H2103" s="5"/>
      <c r="I2103" s="5"/>
      <c r="J2103" s="5"/>
      <c r="K2103" s="5"/>
      <c r="L2103" s="5"/>
      <c r="M2103" s="5"/>
      <c r="N2103" s="5"/>
      <c r="O2103" s="5"/>
      <c r="P2103" s="5"/>
      <c r="Q2103" s="5"/>
      <c r="R2103" s="5"/>
      <c r="S2103" s="5"/>
      <c r="T2103" s="5"/>
      <c r="U2103" s="5"/>
      <c r="V2103" s="5"/>
      <c r="W2103" s="5"/>
      <c r="X2103" s="5"/>
      <c r="Y2103" s="5"/>
      <c r="Z2103" s="5"/>
    </row>
    <row r="2104" spans="1:26" ht="15.6" x14ac:dyDescent="0.3">
      <c r="A2104" s="19" t="s">
        <v>3</v>
      </c>
      <c r="B2104" s="26" t="s">
        <v>2101</v>
      </c>
      <c r="C2104" s="2" t="str">
        <f ca="1">IFERROR(__xludf.DUMMYFUNCTION("GOOGLETRANSLATE(B2104, ""bn"", ""en"")"),"One who fasts will fulfill his duty.. Why should one who does not fast follow such rules")</f>
        <v>One who fasts will fulfill his duty.. Why should one who does not fast follow such rules</v>
      </c>
      <c r="D2104" s="5"/>
      <c r="E2104" s="5"/>
      <c r="F2104" s="5"/>
      <c r="G2104" s="5"/>
      <c r="H2104" s="5"/>
      <c r="I2104" s="5"/>
      <c r="J2104" s="5"/>
      <c r="K2104" s="5"/>
      <c r="L2104" s="5"/>
      <c r="M2104" s="5"/>
      <c r="N2104" s="5"/>
      <c r="O2104" s="5"/>
      <c r="P2104" s="5"/>
      <c r="Q2104" s="5"/>
      <c r="R2104" s="5"/>
      <c r="S2104" s="5"/>
      <c r="T2104" s="5"/>
      <c r="U2104" s="5"/>
      <c r="V2104" s="5"/>
      <c r="W2104" s="5"/>
      <c r="X2104" s="5"/>
      <c r="Y2104" s="5"/>
      <c r="Z2104" s="5"/>
    </row>
    <row r="2105" spans="1:26" ht="15.6" x14ac:dyDescent="0.3">
      <c r="A2105" s="19" t="s">
        <v>23</v>
      </c>
      <c r="B2105" s="26" t="s">
        <v>2102</v>
      </c>
      <c r="C2105" s="2" t="str">
        <f ca="1">IFERROR(__xludf.DUMMYFUNCTION("GOOGLETRANSLATE(B2105, ""bn"", ""en"")"),"No one has noticed this mosque since all these years. Today when Mr. Zaka wanted to develop the mosque at the same place. And that's when so much discussion started nationwide. When the allotment was coming in the name of that mosque, no one saw it. Why i"&amp;"s this happening and why will it happen?")</f>
        <v>No one has noticed this mosque since all these years. Today when Mr. Zaka wanted to develop the mosque at the same place. And that's when so much discussion started nationwide. When the allotment was coming in the name of that mosque, no one saw it. Why is this happening and why will it happen?</v>
      </c>
      <c r="D2105" s="7"/>
      <c r="E2105" s="7"/>
      <c r="F2105" s="7"/>
      <c r="G2105" s="7"/>
      <c r="H2105" s="7"/>
      <c r="I2105" s="7"/>
      <c r="J2105" s="5"/>
      <c r="K2105" s="5"/>
      <c r="L2105" s="5"/>
      <c r="M2105" s="5"/>
      <c r="N2105" s="5"/>
      <c r="O2105" s="5"/>
      <c r="P2105" s="5"/>
      <c r="Q2105" s="5"/>
      <c r="R2105" s="5"/>
      <c r="S2105" s="5"/>
      <c r="T2105" s="5"/>
      <c r="U2105" s="5"/>
      <c r="V2105" s="5"/>
      <c r="W2105" s="5"/>
      <c r="X2105" s="5"/>
      <c r="Y2105" s="5"/>
      <c r="Z2105" s="5"/>
    </row>
    <row r="2106" spans="1:26" ht="15.6" x14ac:dyDescent="0.3">
      <c r="A2106" s="19" t="s">
        <v>5</v>
      </c>
      <c r="B2106" s="26" t="s">
        <v>2103</v>
      </c>
      <c r="C2106" s="2" t="str">
        <f ca="1">IFERROR(__xludf.DUMMYFUNCTION("GOOGLETRANSLATE(B2106, ""bn"", ""en"")"),"Price successfully argued in court that while the law does not state that cremation is legal, it also does not say that it is illegal. The case set the precedent that allowed the cremation society to move forward.")</f>
        <v>Price successfully argued in court that while the law does not state that cremation is legal, it also does not say that it is illegal. The case set the precedent that allowed the cremation society to move forward.</v>
      </c>
      <c r="D2106" s="5"/>
      <c r="E2106" s="5"/>
      <c r="F2106" s="5"/>
      <c r="G2106" s="5"/>
      <c r="H2106" s="5"/>
      <c r="I2106" s="5"/>
      <c r="J2106" s="5"/>
      <c r="K2106" s="5"/>
      <c r="L2106" s="5"/>
      <c r="M2106" s="5"/>
      <c r="N2106" s="5"/>
      <c r="O2106" s="5"/>
      <c r="P2106" s="5"/>
      <c r="Q2106" s="5"/>
      <c r="R2106" s="5"/>
      <c r="S2106" s="5"/>
      <c r="T2106" s="5"/>
      <c r="U2106" s="5"/>
      <c r="V2106" s="5"/>
      <c r="W2106" s="5"/>
      <c r="X2106" s="5"/>
      <c r="Y2106" s="5"/>
      <c r="Z2106" s="5"/>
    </row>
    <row r="2107" spans="1:26" ht="15.6" x14ac:dyDescent="0.3">
      <c r="A2107" s="18" t="s">
        <v>5</v>
      </c>
      <c r="B2107" s="25" t="s">
        <v>2104</v>
      </c>
      <c r="C2107" s="2" t="str">
        <f ca="1">IFERROR(__xludf.DUMMYFUNCTION("GOOGLETRANSLATE(B2107, ""bn"", ""en"")"),"Sa Ka Chowdhury's father, Kundeshwari Apothecary's Danbir Samaj Sevak Nutan Chandra Singh, was dragged out and shot to death in the 71st Asan room while he was offering Tagore puja.")</f>
        <v>Sa Ka Chowdhury's father, Kundeshwari Apothecary's Danbir Samaj Sevak Nutan Chandra Singh, was dragged out and shot to death in the 71st Asan room while he was offering Tagore puja.</v>
      </c>
      <c r="D2107" s="2"/>
      <c r="E2107" s="2"/>
      <c r="F2107" s="2"/>
      <c r="G2107" s="2"/>
      <c r="H2107" s="3"/>
      <c r="I2107" s="3"/>
      <c r="J2107" s="3"/>
      <c r="K2107" s="3"/>
      <c r="L2107" s="3"/>
      <c r="M2107" s="3"/>
      <c r="N2107" s="3"/>
      <c r="O2107" s="3"/>
      <c r="P2107" s="3"/>
      <c r="Q2107" s="3"/>
      <c r="R2107" s="3"/>
      <c r="S2107" s="3"/>
      <c r="T2107" s="3"/>
      <c r="U2107" s="3"/>
      <c r="V2107" s="3"/>
      <c r="W2107" s="3"/>
      <c r="X2107" s="3"/>
      <c r="Y2107" s="3"/>
      <c r="Z2107" s="3"/>
    </row>
    <row r="2108" spans="1:26" ht="15.6" x14ac:dyDescent="0.3">
      <c r="A2108" s="18" t="s">
        <v>23</v>
      </c>
      <c r="B2108" s="25" t="s">
        <v>2105</v>
      </c>
      <c r="C2108" s="2" t="str">
        <f ca="1">IFERROR(__xludf.DUMMYFUNCTION("GOOGLETRANSLATE(B2108, ""bn"", ""en"")"),"Most of the people who make bad comments about religion are depressed. Fake IDs say these stupid things.")</f>
        <v>Most of the people who make bad comments about religion are depressed. Fake IDs say these stupid things.</v>
      </c>
      <c r="D2108" s="5"/>
      <c r="E2108" s="5"/>
      <c r="F2108" s="5"/>
      <c r="G2108" s="5"/>
      <c r="H2108" s="5"/>
      <c r="I2108" s="5"/>
      <c r="J2108" s="5"/>
      <c r="K2108" s="5"/>
      <c r="L2108" s="5"/>
      <c r="M2108" s="5"/>
      <c r="N2108" s="5"/>
      <c r="O2108" s="5"/>
      <c r="P2108" s="5"/>
      <c r="Q2108" s="5"/>
      <c r="R2108" s="5"/>
      <c r="S2108" s="5"/>
      <c r="T2108" s="5"/>
      <c r="U2108" s="5"/>
      <c r="V2108" s="5"/>
      <c r="W2108" s="5"/>
      <c r="X2108" s="5"/>
      <c r="Y2108" s="5"/>
      <c r="Z2108" s="5"/>
    </row>
    <row r="2109" spans="1:26" ht="15.6" x14ac:dyDescent="0.3">
      <c r="A2109" s="19" t="s">
        <v>8</v>
      </c>
      <c r="B2109" s="26" t="s">
        <v>2106</v>
      </c>
      <c r="C2109" s="2" t="str">
        <f ca="1">IFERROR(__xludf.DUMMYFUNCTION("GOOGLETRANSLATE(B2109, ""bn"", ""en"")"),"The Congress leadership accepted the Noakhali division resulting in the abandonment of peace missions and relief operations for the affected. Most of the survivors and affected Hindus left their homes and migrated to West Bengal, Tripura[11] and Assam.[12"&amp;"]")</f>
        <v>The Congress leadership accepted the Noakhali division resulting in the abandonment of peace missions and relief operations for the affected. Most of the survivors and affected Hindus left their homes and migrated to West Bengal, Tripura[11] and Assam.[12]</v>
      </c>
      <c r="D2109" s="5"/>
      <c r="E2109" s="5"/>
      <c r="F2109" s="5"/>
      <c r="G2109" s="5"/>
      <c r="H2109" s="5"/>
      <c r="I2109" s="5"/>
      <c r="J2109" s="5"/>
      <c r="K2109" s="5"/>
      <c r="L2109" s="5"/>
      <c r="M2109" s="5"/>
      <c r="N2109" s="5"/>
      <c r="O2109" s="5"/>
      <c r="P2109" s="5"/>
      <c r="Q2109" s="5"/>
      <c r="R2109" s="5"/>
      <c r="S2109" s="5"/>
      <c r="T2109" s="5"/>
      <c r="U2109" s="5"/>
      <c r="V2109" s="5"/>
      <c r="W2109" s="5"/>
      <c r="X2109" s="5"/>
      <c r="Y2109" s="5"/>
      <c r="Z2109" s="5"/>
    </row>
    <row r="2110" spans="1:26" ht="15.6" x14ac:dyDescent="0.3">
      <c r="A2110" s="18" t="s">
        <v>8</v>
      </c>
      <c r="B2110" s="24" t="s">
        <v>2107</v>
      </c>
      <c r="C2110" s="2" t="str">
        <f ca="1">IFERROR(__xludf.DUMMYFUNCTION("GOOGLETRANSLATE(B2110, ""bn"", ""en"")"),"5 May 2024 Local religious terrorists broke the idol in a newly constructed Thakurbari in Bhaluka, Mymensingh.")</f>
        <v>5 May 2024 Local religious terrorists broke the idol in a newly constructed Thakurbari in Bhaluka, Mymensingh.</v>
      </c>
      <c r="D2110" s="5"/>
      <c r="E2110" s="5"/>
      <c r="F2110" s="5"/>
      <c r="G2110" s="5"/>
      <c r="H2110" s="5"/>
      <c r="I2110" s="5"/>
      <c r="J2110" s="5"/>
      <c r="K2110" s="5"/>
      <c r="L2110" s="5"/>
      <c r="M2110" s="5"/>
      <c r="N2110" s="5"/>
      <c r="O2110" s="5"/>
      <c r="P2110" s="5"/>
      <c r="Q2110" s="5"/>
      <c r="R2110" s="5"/>
      <c r="S2110" s="5"/>
      <c r="T2110" s="5"/>
      <c r="U2110" s="5"/>
      <c r="V2110" s="5"/>
      <c r="W2110" s="5"/>
      <c r="X2110" s="5"/>
      <c r="Y2110" s="5"/>
      <c r="Z2110" s="5"/>
    </row>
    <row r="2111" spans="1:26" ht="15.6" x14ac:dyDescent="0.3">
      <c r="A2111" s="18" t="s">
        <v>5</v>
      </c>
      <c r="B2111" s="24" t="s">
        <v>2108</v>
      </c>
      <c r="C2111" s="2" t="str">
        <f ca="1">IFERROR(__xludf.DUMMYFUNCTION("GOOGLETRANSLATE(B2111, ""bn"", ""en"")"),"Many Muslim youths were shot dead without trial during the religious riots, the authorities recovered the bodies from the scene days later. Total killed: 53 people.")</f>
        <v>Many Muslim youths were shot dead without trial during the religious riots, the authorities recovered the bodies from the scene days later. Total killed: 53 people.</v>
      </c>
      <c r="D2111" s="5"/>
      <c r="E2111" s="5"/>
      <c r="F2111" s="5"/>
      <c r="G2111" s="5"/>
      <c r="H2111" s="5"/>
      <c r="I2111" s="5"/>
      <c r="J2111" s="5"/>
      <c r="K2111" s="5"/>
      <c r="L2111" s="5"/>
      <c r="M2111" s="5"/>
      <c r="N2111" s="5"/>
      <c r="O2111" s="5"/>
      <c r="P2111" s="5"/>
      <c r="Q2111" s="5"/>
      <c r="R2111" s="5"/>
      <c r="S2111" s="5"/>
      <c r="T2111" s="5"/>
      <c r="U2111" s="5"/>
      <c r="V2111" s="5"/>
      <c r="W2111" s="5"/>
      <c r="X2111" s="5"/>
      <c r="Y2111" s="5"/>
      <c r="Z2111" s="5"/>
    </row>
    <row r="2112" spans="1:26" ht="15.6" x14ac:dyDescent="0.3">
      <c r="A2112" s="18" t="s">
        <v>5</v>
      </c>
      <c r="B2112" s="24" t="s">
        <v>2109</v>
      </c>
      <c r="C2112" s="2" t="str">
        <f ca="1">IFERROR(__xludf.DUMMYFUNCTION("GOOGLETRANSLATE(B2112, ""bn"", ""en"")"),"At least 38 people were killed in attacks on minorities in religious riots in Feni.")</f>
        <v>At least 38 people were killed in attacks on minorities in religious riots in Feni.</v>
      </c>
      <c r="D2112" s="5"/>
      <c r="E2112" s="5"/>
      <c r="F2112" s="5"/>
      <c r="G2112" s="5"/>
      <c r="H2112" s="5"/>
      <c r="I2112" s="5"/>
      <c r="J2112" s="5"/>
      <c r="K2112" s="5"/>
      <c r="L2112" s="5"/>
      <c r="M2112" s="5"/>
      <c r="N2112" s="5"/>
      <c r="O2112" s="5"/>
      <c r="P2112" s="5"/>
      <c r="Q2112" s="5"/>
      <c r="R2112" s="5"/>
      <c r="S2112" s="5"/>
      <c r="T2112" s="5"/>
      <c r="U2112" s="5"/>
      <c r="V2112" s="5"/>
      <c r="W2112" s="5"/>
      <c r="X2112" s="5"/>
      <c r="Y2112" s="5"/>
      <c r="Z2112" s="5"/>
    </row>
    <row r="2113" spans="1:26" ht="15.6" x14ac:dyDescent="0.3">
      <c r="A2113" s="18" t="s">
        <v>5</v>
      </c>
      <c r="B2113" s="24" t="s">
        <v>2110</v>
      </c>
      <c r="C2113" s="2" t="str">
        <f ca="1">IFERROR(__xludf.DUMMYFUNCTION("GOOGLETRANSLATE(B2113, ""bn"", ""en"")"),"In Sherpur, a religious group demolished the houses of minorities; 34 people lost their lives.")</f>
        <v>In Sherpur, a religious group demolished the houses of minorities; 34 people lost their lives.</v>
      </c>
      <c r="D2113" s="5"/>
      <c r="E2113" s="5"/>
      <c r="F2113" s="5"/>
      <c r="G2113" s="5"/>
      <c r="H2113" s="5"/>
      <c r="I2113" s="5"/>
      <c r="J2113" s="5"/>
      <c r="K2113" s="5"/>
      <c r="L2113" s="5"/>
      <c r="M2113" s="5"/>
      <c r="N2113" s="5"/>
      <c r="O2113" s="5"/>
      <c r="P2113" s="5"/>
      <c r="Q2113" s="5"/>
      <c r="R2113" s="5"/>
      <c r="S2113" s="5"/>
      <c r="T2113" s="5"/>
      <c r="U2113" s="5"/>
      <c r="V2113" s="5"/>
      <c r="W2113" s="5"/>
      <c r="X2113" s="5"/>
      <c r="Y2113" s="5"/>
      <c r="Z2113" s="5"/>
    </row>
    <row r="2114" spans="1:26" ht="15.6" x14ac:dyDescent="0.3">
      <c r="A2114" s="19" t="s">
        <v>5</v>
      </c>
      <c r="B2114" s="26" t="s">
        <v>2111</v>
      </c>
      <c r="C2114" s="2" t="str">
        <f ca="1">IFERROR(__xludf.DUMMYFUNCTION("GOOGLETRANSLATE(B2114, ""bn"", ""en"")"),"Hindus being burned alive in Noakhali riots; Gandhiji said, Hindus must leave Noakhali or perish.")</f>
        <v>Hindus being burned alive in Noakhali riots; Gandhiji said, Hindus must leave Noakhali or perish.</v>
      </c>
      <c r="D2114" s="7"/>
      <c r="E2114" s="7"/>
      <c r="F2114" s="7"/>
      <c r="G2114" s="7"/>
      <c r="H2114" s="7"/>
      <c r="I2114" s="5"/>
      <c r="J2114" s="5"/>
      <c r="K2114" s="5"/>
      <c r="L2114" s="5"/>
      <c r="M2114" s="5"/>
      <c r="N2114" s="5"/>
      <c r="O2114" s="5"/>
      <c r="P2114" s="5"/>
      <c r="Q2114" s="5"/>
      <c r="R2114" s="5"/>
      <c r="S2114" s="5"/>
      <c r="T2114" s="5"/>
      <c r="U2114" s="5"/>
      <c r="V2114" s="5"/>
      <c r="W2114" s="5"/>
      <c r="X2114" s="5"/>
      <c r="Y2114" s="5"/>
      <c r="Z2114" s="5"/>
    </row>
    <row r="2115" spans="1:26" ht="15.6" x14ac:dyDescent="0.3">
      <c r="A2115" s="18" t="s">
        <v>5</v>
      </c>
      <c r="B2115" s="24" t="s">
        <v>2112</v>
      </c>
      <c r="C2115" s="2" t="str">
        <f ca="1">IFERROR(__xludf.DUMMYFUNCTION("GOOGLETRANSLATE(B2115, ""bn"", ""en"")"),"Adivasi religious festivals were attacked, killing 12 people, idols were vandalized and the area became a flashpoint for communal tensions. Total killed: 12 people.")</f>
        <v>Adivasi religious festivals were attacked, killing 12 people, idols were vandalized and the area became a flashpoint for communal tensions. Total killed: 12 people.</v>
      </c>
      <c r="D2115" s="5"/>
      <c r="E2115" s="5"/>
      <c r="F2115" s="5"/>
      <c r="G2115" s="5"/>
      <c r="H2115" s="5"/>
      <c r="I2115" s="5"/>
      <c r="J2115" s="5"/>
      <c r="K2115" s="5"/>
      <c r="L2115" s="5"/>
      <c r="M2115" s="5"/>
      <c r="N2115" s="5"/>
      <c r="O2115" s="5"/>
      <c r="P2115" s="5"/>
      <c r="Q2115" s="5"/>
      <c r="R2115" s="5"/>
      <c r="S2115" s="5"/>
      <c r="T2115" s="5"/>
      <c r="U2115" s="5"/>
      <c r="V2115" s="5"/>
      <c r="W2115" s="5"/>
      <c r="X2115" s="5"/>
      <c r="Y2115" s="5"/>
      <c r="Z2115" s="5"/>
    </row>
    <row r="2116" spans="1:26" ht="15.6" x14ac:dyDescent="0.3">
      <c r="A2116" s="19" t="s">
        <v>8</v>
      </c>
      <c r="B2116" s="26" t="s">
        <v>2113</v>
      </c>
      <c r="C2116" s="2" t="str">
        <f ca="1">IFERROR(__xludf.DUMMYFUNCTION("GOOGLETRANSLATE(B2116, ""bn"", ""en"")"),"8 houses were attacked in Madhyapalpara area. Palash Das' grocery store was looted and vandalized there. Houses of bhajan workers were vandalized and idols were broken in temples")</f>
        <v>8 houses were attacked in Madhyapalpara area. Palash Das' grocery store was looted and vandalized there. Houses of bhajan workers were vandalized and idols were broken in temples</v>
      </c>
      <c r="D2116" s="5"/>
      <c r="E2116" s="5"/>
      <c r="F2116" s="5"/>
      <c r="G2116" s="5"/>
      <c r="H2116" s="5"/>
      <c r="I2116" s="5"/>
      <c r="J2116" s="5"/>
      <c r="K2116" s="5"/>
      <c r="L2116" s="5"/>
      <c r="M2116" s="5"/>
      <c r="N2116" s="5"/>
      <c r="O2116" s="5"/>
      <c r="P2116" s="5"/>
      <c r="Q2116" s="5"/>
      <c r="R2116" s="5"/>
      <c r="S2116" s="5"/>
      <c r="T2116" s="5"/>
      <c r="U2116" s="5"/>
      <c r="V2116" s="5"/>
      <c r="W2116" s="5"/>
      <c r="X2116" s="5"/>
      <c r="Y2116" s="5"/>
      <c r="Z2116" s="5"/>
    </row>
    <row r="2117" spans="1:26" ht="15.6" x14ac:dyDescent="0.3">
      <c r="A2117" s="19" t="s">
        <v>3</v>
      </c>
      <c r="B2117" s="26" t="s">
        <v>2114</v>
      </c>
      <c r="C2117" s="2" t="str">
        <f ca="1">IFERROR(__xludf.DUMMYFUNCTION("GOOGLETRANSLATE(B2117, ""bn"", ""en"")"),"Jainism teaches spiritual liberation and human welfare through non-violence and renunciation.")</f>
        <v>Jainism teaches spiritual liberation and human welfare through non-violence and renunciation.</v>
      </c>
      <c r="D2117" s="7"/>
      <c r="E2117" s="5"/>
      <c r="F2117" s="5"/>
      <c r="G2117" s="5"/>
      <c r="H2117" s="5"/>
      <c r="I2117" s="5"/>
      <c r="J2117" s="5"/>
      <c r="K2117" s="5"/>
      <c r="L2117" s="5"/>
      <c r="M2117" s="5"/>
      <c r="N2117" s="5"/>
      <c r="O2117" s="5"/>
      <c r="P2117" s="5"/>
      <c r="Q2117" s="5"/>
      <c r="R2117" s="5"/>
      <c r="S2117" s="5"/>
      <c r="T2117" s="5"/>
      <c r="U2117" s="5"/>
      <c r="V2117" s="5"/>
      <c r="W2117" s="5"/>
      <c r="X2117" s="5"/>
      <c r="Y2117" s="5"/>
      <c r="Z2117" s="5"/>
    </row>
    <row r="2118" spans="1:26" ht="15.6" x14ac:dyDescent="0.3">
      <c r="A2118" s="18" t="s">
        <v>23</v>
      </c>
      <c r="B2118" s="25" t="s">
        <v>2115</v>
      </c>
      <c r="C2118" s="2" t="str">
        <f ca="1">IFERROR(__xludf.DUMMYFUNCTION("GOOGLETRANSLATE(B2118, ""bn"", ""en"")"),"They have failed in trying to write you against a bunch of people or religion")</f>
        <v>They have failed in trying to write you against a bunch of people or religion</v>
      </c>
      <c r="D2118" s="5"/>
      <c r="E2118" s="5"/>
      <c r="F2118" s="5"/>
      <c r="G2118" s="5"/>
      <c r="H2118" s="5"/>
      <c r="I2118" s="5"/>
      <c r="J2118" s="5"/>
      <c r="K2118" s="5"/>
      <c r="L2118" s="5"/>
      <c r="M2118" s="5"/>
      <c r="N2118" s="5"/>
      <c r="O2118" s="5"/>
      <c r="P2118" s="5"/>
      <c r="Q2118" s="5"/>
      <c r="R2118" s="5"/>
      <c r="S2118" s="5"/>
      <c r="T2118" s="5"/>
      <c r="U2118" s="5"/>
      <c r="V2118" s="5"/>
      <c r="W2118" s="5"/>
      <c r="X2118" s="5"/>
      <c r="Y2118" s="5"/>
      <c r="Z2118" s="5"/>
    </row>
    <row r="2119" spans="1:26" ht="15.6" x14ac:dyDescent="0.3">
      <c r="A2119" s="19" t="s">
        <v>3</v>
      </c>
      <c r="B2119" s="26" t="s">
        <v>2116</v>
      </c>
      <c r="C2119" s="2" t="str">
        <f ca="1">IFERROR(__xludf.DUMMYFUNCTION("GOOGLETRANSLATE(B2119, ""bn"", ""en"")"),"Islam has been declared the state religion in the constitution of Bangladesh. Bangladesh is the country with the fourth largest Muslim population.")</f>
        <v>Islam has been declared the state religion in the constitution of Bangladesh. Bangladesh is the country with the fourth largest Muslim population.</v>
      </c>
      <c r="D2119" s="5"/>
      <c r="E2119" s="5"/>
      <c r="F2119" s="5"/>
      <c r="G2119" s="5"/>
      <c r="H2119" s="5"/>
      <c r="I2119" s="5"/>
      <c r="J2119" s="5"/>
      <c r="K2119" s="5"/>
      <c r="L2119" s="5"/>
      <c r="M2119" s="5"/>
      <c r="N2119" s="5"/>
      <c r="O2119" s="5"/>
      <c r="P2119" s="5"/>
      <c r="Q2119" s="5"/>
      <c r="R2119" s="5"/>
      <c r="S2119" s="5"/>
      <c r="T2119" s="5"/>
      <c r="U2119" s="5"/>
      <c r="V2119" s="5"/>
      <c r="W2119" s="5"/>
      <c r="X2119" s="5"/>
      <c r="Y2119" s="5"/>
      <c r="Z2119" s="5"/>
    </row>
    <row r="2120" spans="1:26" ht="15.6" x14ac:dyDescent="0.3">
      <c r="A2120" s="19" t="s">
        <v>3</v>
      </c>
      <c r="B2120" s="26" t="s">
        <v>2117</v>
      </c>
      <c r="C2120" s="2" t="str">
        <f ca="1">IFERROR(__xludf.DUMMYFUNCTION("GOOGLETRANSLATE(B2120, ""bn"", ""en"")"),"One may commit suicide due to pride and despair, although suicide is a grave sin and not desirable from a religious point of view.")</f>
        <v>One may commit suicide due to pride and despair, although suicide is a grave sin and not desirable from a religious point of view.</v>
      </c>
      <c r="D2120" s="7"/>
      <c r="E2120" s="7"/>
      <c r="F2120" s="7"/>
      <c r="G2120" s="7"/>
      <c r="H2120" s="5"/>
      <c r="I2120" s="5"/>
      <c r="J2120" s="5"/>
      <c r="K2120" s="5"/>
      <c r="L2120" s="5"/>
      <c r="M2120" s="5"/>
      <c r="N2120" s="5"/>
      <c r="O2120" s="5"/>
      <c r="P2120" s="5"/>
      <c r="Q2120" s="5"/>
      <c r="R2120" s="5"/>
      <c r="S2120" s="5"/>
      <c r="T2120" s="5"/>
      <c r="U2120" s="5"/>
      <c r="V2120" s="5"/>
      <c r="W2120" s="5"/>
      <c r="X2120" s="5"/>
      <c r="Y2120" s="5"/>
      <c r="Z2120" s="5"/>
    </row>
    <row r="2121" spans="1:26" ht="15.6" x14ac:dyDescent="0.3">
      <c r="A2121" s="18" t="s">
        <v>23</v>
      </c>
      <c r="B2121" s="24" t="s">
        <v>2118</v>
      </c>
      <c r="C2121" s="2" t="str">
        <f ca="1">IFERROR(__xludf.DUMMYFUNCTION("GOOGLETRANSLATE(B2121, ""bn"", ""en"")"),"Many in the Hindu community harbor violent attitudes towards other religions which destroys the peace of the country.")</f>
        <v>Many in the Hindu community harbor violent attitudes towards other religions which destroys the peace of the country.</v>
      </c>
      <c r="D2121" s="5"/>
      <c r="E2121" s="5"/>
      <c r="F2121" s="5"/>
      <c r="G2121" s="5"/>
      <c r="H2121" s="5"/>
      <c r="I2121" s="5"/>
      <c r="J2121" s="5"/>
      <c r="K2121" s="5"/>
      <c r="L2121" s="5"/>
      <c r="M2121" s="5"/>
      <c r="N2121" s="5"/>
      <c r="O2121" s="5"/>
      <c r="P2121" s="5"/>
      <c r="Q2121" s="5"/>
      <c r="R2121" s="5"/>
      <c r="S2121" s="5"/>
      <c r="T2121" s="5"/>
      <c r="U2121" s="5"/>
      <c r="V2121" s="5"/>
      <c r="W2121" s="5"/>
      <c r="X2121" s="5"/>
      <c r="Y2121" s="5"/>
      <c r="Z2121" s="5"/>
    </row>
    <row r="2122" spans="1:26" ht="15.6" x14ac:dyDescent="0.3">
      <c r="A2122" s="19" t="s">
        <v>23</v>
      </c>
      <c r="B2122" s="26" t="s">
        <v>2119</v>
      </c>
      <c r="C2122" s="2" t="str">
        <f ca="1">IFERROR(__xludf.DUMMYFUNCTION("GOOGLETRANSLATE(B2122, ""bn"", ""en"")"),"And there is a class of people who, out of ignorance, buy things for fun to distract the people from the path of Allah.")</f>
        <v>And there is a class of people who, out of ignorance, buy things for fun to distract the people from the path of Allah.</v>
      </c>
      <c r="D2122" s="5"/>
      <c r="E2122" s="5"/>
      <c r="F2122" s="5"/>
      <c r="G2122" s="5"/>
      <c r="H2122" s="5"/>
      <c r="I2122" s="5"/>
      <c r="J2122" s="5"/>
      <c r="K2122" s="5"/>
      <c r="L2122" s="5"/>
      <c r="M2122" s="5"/>
      <c r="N2122" s="5"/>
      <c r="O2122" s="5"/>
      <c r="P2122" s="5"/>
      <c r="Q2122" s="5"/>
      <c r="R2122" s="5"/>
      <c r="S2122" s="5"/>
      <c r="T2122" s="5"/>
      <c r="U2122" s="5"/>
      <c r="V2122" s="5"/>
      <c r="W2122" s="5"/>
      <c r="X2122" s="5"/>
      <c r="Y2122" s="5"/>
      <c r="Z2122" s="5"/>
    </row>
    <row r="2123" spans="1:26" ht="15.6" x14ac:dyDescent="0.3">
      <c r="A2123" s="18" t="s">
        <v>3</v>
      </c>
      <c r="B2123" s="25" t="s">
        <v>2120</v>
      </c>
      <c r="C2123" s="2" t="str">
        <f ca="1">IFERROR(__xludf.DUMMYFUNCTION("GOOGLETRANSLATE(B2123, ""bn"", ""en"")"),"Within a few days of becoming a Muslim, the mother died of cancer. But Islam helps me to be patient. We can only turn to Allah in times of pain. Islam is the ultimate truth and complete way of life. It is the last truth and the last chance sent by Allah t"&amp;"o mankind.")</f>
        <v>Within a few days of becoming a Muslim, the mother died of cancer. But Islam helps me to be patient. We can only turn to Allah in times of pain. Islam is the ultimate truth and complete way of life. It is the last truth and the last chance sent by Allah to mankind.</v>
      </c>
      <c r="D2123" s="5"/>
      <c r="E2123" s="5"/>
      <c r="F2123" s="5"/>
      <c r="G2123" s="5"/>
      <c r="H2123" s="5"/>
      <c r="I2123" s="5"/>
      <c r="J2123" s="5"/>
      <c r="K2123" s="5"/>
      <c r="L2123" s="5"/>
      <c r="M2123" s="5"/>
      <c r="N2123" s="5"/>
      <c r="O2123" s="5"/>
      <c r="P2123" s="5"/>
      <c r="Q2123" s="5"/>
      <c r="R2123" s="5"/>
      <c r="S2123" s="5"/>
      <c r="T2123" s="5"/>
      <c r="U2123" s="5"/>
      <c r="V2123" s="5"/>
      <c r="W2123" s="5"/>
      <c r="X2123" s="5"/>
      <c r="Y2123" s="5"/>
      <c r="Z2123" s="5"/>
    </row>
    <row r="2124" spans="1:26" ht="15.6" x14ac:dyDescent="0.3">
      <c r="A2124" s="18" t="s">
        <v>5</v>
      </c>
      <c r="B2124" s="24" t="s">
        <v>2121</v>
      </c>
      <c r="C2124" s="2" t="str">
        <f ca="1">IFERROR(__xludf.DUMMYFUNCTION("GOOGLETRANSLATE(B2124, ""bn"", ""en"")"),"In October 2018, 23 people were killed in violence against religious groups against minorities; Many people are homeless.")</f>
        <v>In October 2018, 23 people were killed in violence against religious groups against minorities; Many people are homeless.</v>
      </c>
      <c r="D2124" s="5"/>
      <c r="E2124" s="5"/>
      <c r="F2124" s="5"/>
      <c r="G2124" s="5"/>
      <c r="H2124" s="5"/>
      <c r="I2124" s="5"/>
      <c r="J2124" s="5"/>
      <c r="K2124" s="5"/>
      <c r="L2124" s="5"/>
      <c r="M2124" s="5"/>
      <c r="N2124" s="5"/>
      <c r="O2124" s="5"/>
      <c r="P2124" s="5"/>
      <c r="Q2124" s="5"/>
      <c r="R2124" s="5"/>
      <c r="S2124" s="5"/>
      <c r="T2124" s="5"/>
      <c r="U2124" s="5"/>
      <c r="V2124" s="5"/>
      <c r="W2124" s="5"/>
      <c r="X2124" s="5"/>
      <c r="Y2124" s="5"/>
      <c r="Z2124" s="5"/>
    </row>
    <row r="2125" spans="1:26" ht="15.6" x14ac:dyDescent="0.3">
      <c r="A2125" s="19" t="s">
        <v>8</v>
      </c>
      <c r="B2125" s="26" t="s">
        <v>2122</v>
      </c>
      <c r="C2125" s="2" t="str">
        <f ca="1">IFERROR(__xludf.DUMMYFUNCTION("GOOGLETRANSLATE(B2125, ""bn"", ""en"")"),"I do not understand why so many times about religion? If your religion is right, you will go to heaven, then do it with your mind, what is the use of taking other people's religion? If possible, show your religion to people, I will also show my religion, "&amp;"which people like. What is the need for abusive fights?")</f>
        <v>I do not understand why so many times about religion? If your religion is right, you will go to heaven, then do it with your mind, what is the use of taking other people's religion? If possible, show your religion to people, I will also show my religion, which people like. What is the need for abusive fights?</v>
      </c>
      <c r="D2125" s="7"/>
      <c r="E2125" s="7"/>
      <c r="F2125" s="7"/>
      <c r="G2125" s="5"/>
      <c r="H2125" s="5"/>
      <c r="I2125" s="5"/>
      <c r="J2125" s="5"/>
      <c r="K2125" s="5"/>
      <c r="L2125" s="5"/>
      <c r="M2125" s="5"/>
      <c r="N2125" s="5"/>
      <c r="O2125" s="5"/>
      <c r="P2125" s="5"/>
      <c r="Q2125" s="5"/>
      <c r="R2125" s="5"/>
      <c r="S2125" s="5"/>
      <c r="T2125" s="5"/>
      <c r="U2125" s="5"/>
      <c r="V2125" s="5"/>
      <c r="W2125" s="5"/>
      <c r="X2125" s="5"/>
      <c r="Y2125" s="5"/>
      <c r="Z2125" s="5"/>
    </row>
    <row r="2126" spans="1:26" ht="15.6" x14ac:dyDescent="0.3">
      <c r="A2126" s="18" t="s">
        <v>23</v>
      </c>
      <c r="B2126" s="25" t="s">
        <v>2123</v>
      </c>
      <c r="C2126" s="2" t="str">
        <f ca="1">IFERROR(__xludf.DUMMYFUNCTION("GOOGLETRANSLATE(B2126, ""bn"", ""en"")"),"They want to destroy the Hindu Muslim communal harmony of this country.")</f>
        <v>They want to destroy the Hindu Muslim communal harmony of this country.</v>
      </c>
      <c r="D2126" s="5"/>
      <c r="E2126" s="5"/>
      <c r="F2126" s="5"/>
      <c r="G2126" s="5"/>
      <c r="H2126" s="5"/>
      <c r="I2126" s="5"/>
      <c r="J2126" s="5"/>
      <c r="K2126" s="5"/>
      <c r="L2126" s="5"/>
      <c r="M2126" s="5"/>
      <c r="N2126" s="5"/>
      <c r="O2126" s="5"/>
      <c r="P2126" s="5"/>
      <c r="Q2126" s="5"/>
      <c r="R2126" s="5"/>
      <c r="S2126" s="5"/>
      <c r="T2126" s="5"/>
      <c r="U2126" s="5"/>
      <c r="V2126" s="5"/>
      <c r="W2126" s="5"/>
      <c r="X2126" s="5"/>
      <c r="Y2126" s="5"/>
      <c r="Z2126" s="5"/>
    </row>
    <row r="2127" spans="1:26" ht="15.6" x14ac:dyDescent="0.3">
      <c r="A2127" s="18" t="s">
        <v>5</v>
      </c>
      <c r="B2127" s="24" t="s">
        <v>2124</v>
      </c>
      <c r="C2127" s="2" t="str">
        <f ca="1">IFERROR(__xludf.DUMMYFUNCTION("GOOGLETRANSLATE(B2127, ""bn"", ""en"")"),"A religious group burned down a minority market in Jhenaidah; 31 people lost their lives.")</f>
        <v>A religious group burned down a minority market in Jhenaidah; 31 people lost their lives.</v>
      </c>
      <c r="D2127" s="5"/>
      <c r="E2127" s="5"/>
      <c r="F2127" s="5"/>
      <c r="G2127" s="5"/>
      <c r="H2127" s="5"/>
      <c r="I2127" s="5"/>
      <c r="J2127" s="5"/>
      <c r="K2127" s="5"/>
      <c r="L2127" s="5"/>
      <c r="M2127" s="5"/>
      <c r="N2127" s="5"/>
      <c r="O2127" s="5"/>
      <c r="P2127" s="5"/>
      <c r="Q2127" s="5"/>
      <c r="R2127" s="5"/>
      <c r="S2127" s="5"/>
      <c r="T2127" s="5"/>
      <c r="U2127" s="5"/>
      <c r="V2127" s="5"/>
      <c r="W2127" s="5"/>
      <c r="X2127" s="5"/>
      <c r="Y2127" s="5"/>
      <c r="Z2127" s="5"/>
    </row>
    <row r="2128" spans="1:26" ht="15.6" x14ac:dyDescent="0.3">
      <c r="A2128" s="19" t="s">
        <v>5</v>
      </c>
      <c r="B2128" s="26" t="s">
        <v>2125</v>
      </c>
      <c r="C2128" s="2" t="str">
        <f ca="1">IFERROR(__xludf.DUMMYFUNCTION("GOOGLETRANSLATE(B2128, ""bn"", ""en"")"),"As rumors spread about desecration of Quran in Jamandap, Muslim extremists attacked places of worship, temples and places of Hindu community in different parts of the country.")</f>
        <v>As rumors spread about desecration of Quran in Jamandap, Muslim extremists attacked places of worship, temples and places of Hindu community in different parts of the country.</v>
      </c>
      <c r="D2128" s="7"/>
      <c r="E2128" s="7"/>
      <c r="F2128" s="7"/>
      <c r="G2128" s="7"/>
      <c r="H2128" s="7"/>
      <c r="I2128" s="7"/>
      <c r="J2128" s="7"/>
      <c r="K2128" s="5"/>
      <c r="L2128" s="5"/>
      <c r="M2128" s="5"/>
      <c r="N2128" s="5"/>
      <c r="O2128" s="5"/>
      <c r="P2128" s="5"/>
      <c r="Q2128" s="5"/>
      <c r="R2128" s="5"/>
      <c r="S2128" s="5"/>
      <c r="T2128" s="5"/>
      <c r="U2128" s="5"/>
      <c r="V2128" s="5"/>
      <c r="W2128" s="5"/>
      <c r="X2128" s="5"/>
      <c r="Y2128" s="5"/>
      <c r="Z2128" s="5"/>
    </row>
    <row r="2129" spans="1:26" ht="15.6" x14ac:dyDescent="0.3">
      <c r="A2129" s="18" t="s">
        <v>23</v>
      </c>
      <c r="B2129" s="25" t="s">
        <v>2126</v>
      </c>
      <c r="C2129" s="2" t="str">
        <f ca="1">IFERROR(__xludf.DUMMYFUNCTION("GOOGLETRANSLATE(B2129, ""bn"", ""en"")"),"Stop political use of Islam. Stop religious coercion. - Then we won't say anything more. Keep religion as a secular matter and a purely personal matter.")</f>
        <v>Stop political use of Islam. Stop religious coercion. - Then we won't say anything more. Keep religion as a secular matter and a purely personal matter.</v>
      </c>
      <c r="D2129" s="5"/>
      <c r="E2129" s="5"/>
      <c r="F2129" s="5"/>
      <c r="G2129" s="5"/>
      <c r="H2129" s="5"/>
      <c r="I2129" s="5"/>
      <c r="J2129" s="5"/>
      <c r="K2129" s="5"/>
      <c r="L2129" s="5"/>
      <c r="M2129" s="5"/>
      <c r="N2129" s="5"/>
      <c r="O2129" s="5"/>
      <c r="P2129" s="5"/>
      <c r="Q2129" s="5"/>
      <c r="R2129" s="5"/>
      <c r="S2129" s="5"/>
      <c r="T2129" s="5"/>
      <c r="U2129" s="5"/>
      <c r="V2129" s="5"/>
      <c r="W2129" s="5"/>
      <c r="X2129" s="5"/>
      <c r="Y2129" s="5"/>
      <c r="Z2129" s="5"/>
    </row>
    <row r="2130" spans="1:26" ht="15.6" x14ac:dyDescent="0.3">
      <c r="A2130" s="18" t="s">
        <v>8</v>
      </c>
      <c r="B2130" s="25" t="s">
        <v>2127</v>
      </c>
      <c r="C2130" s="2" t="str">
        <f ca="1">IFERROR(__xludf.DUMMYFUNCTION("GOOGLETRANSLATE(B2130, ""bn"", ""en"")"),"Houses were vandalized and set on fire. Police investigation revealed that a man named Iqbal Hossain kept the Quran there. The CCTV footage shows him leaving a nearby shrine at midnight with a Quran in his hand and heading towards the puja hall and finall"&amp;"y roaming the streets with Hanuman's weapon in his hand.")</f>
        <v>Houses were vandalized and set on fire. Police investigation revealed that a man named Iqbal Hossain kept the Quran there. The CCTV footage shows him leaving a nearby shrine at midnight with a Quran in his hand and heading towards the puja hall and finally roaming the streets with Hanuman's weapon in his hand.</v>
      </c>
      <c r="D2130" s="6"/>
      <c r="E2130" s="6"/>
      <c r="F2130" s="6"/>
      <c r="G2130" s="6"/>
      <c r="H2130" s="5"/>
      <c r="I2130" s="5"/>
      <c r="J2130" s="5"/>
      <c r="K2130" s="5"/>
      <c r="L2130" s="5"/>
      <c r="M2130" s="5"/>
      <c r="N2130" s="5"/>
      <c r="O2130" s="5"/>
      <c r="P2130" s="5"/>
      <c r="Q2130" s="5"/>
      <c r="R2130" s="5"/>
      <c r="S2130" s="5"/>
      <c r="T2130" s="5"/>
      <c r="U2130" s="5"/>
      <c r="V2130" s="5"/>
      <c r="W2130" s="5"/>
      <c r="X2130" s="5"/>
      <c r="Y2130" s="5"/>
      <c r="Z2130" s="5"/>
    </row>
    <row r="2131" spans="1:26" ht="15.6" x14ac:dyDescent="0.3">
      <c r="A2131" s="18" t="s">
        <v>3</v>
      </c>
      <c r="B2131" s="25" t="s">
        <v>2128</v>
      </c>
      <c r="C2131" s="2" t="str">
        <f ca="1">IFERROR(__xludf.DUMMYFUNCTION("GOOGLETRANSLATE(B2131, ""bn"", ""en"")"),"When Hindus and Muslims live together, they maintain peace and unity in society by respecting human values ​​despite religious differences, which makes the world more beautiful and humane.")</f>
        <v>When Hindus and Muslims live together, they maintain peace and unity in society by respecting human values ​​despite religious differences, which makes the world more beautiful and humane.</v>
      </c>
      <c r="D2131" s="5"/>
      <c r="E2131" s="5"/>
      <c r="F2131" s="5"/>
      <c r="G2131" s="5"/>
      <c r="H2131" s="5"/>
      <c r="I2131" s="5"/>
      <c r="J2131" s="5"/>
      <c r="K2131" s="5"/>
      <c r="L2131" s="5"/>
      <c r="M2131" s="5"/>
      <c r="N2131" s="5"/>
      <c r="O2131" s="5"/>
      <c r="P2131" s="5"/>
      <c r="Q2131" s="5"/>
      <c r="R2131" s="5"/>
      <c r="S2131" s="5"/>
      <c r="T2131" s="5"/>
      <c r="U2131" s="5"/>
      <c r="V2131" s="5"/>
      <c r="W2131" s="5"/>
      <c r="X2131" s="5"/>
      <c r="Y2131" s="5"/>
      <c r="Z2131" s="5"/>
    </row>
    <row r="2132" spans="1:26" ht="15.6" x14ac:dyDescent="0.3">
      <c r="A2132" s="18" t="s">
        <v>3</v>
      </c>
      <c r="B2132" s="25" t="s">
        <v>2129</v>
      </c>
      <c r="C2132" s="2" t="str">
        <f ca="1">IFERROR(__xludf.DUMMYFUNCTION("GOOGLETRANSLATE(B2132, ""bn"", ""en"")"),"Angels are kind and gentle to the righteous believers, their death is less painful. On the other hand, the angels are harsh towards the dishonest or unbelievers and their death is painful.")</f>
        <v>Angels are kind and gentle to the righteous believers, their death is less painful. On the other hand, the angels are harsh towards the dishonest or unbelievers and their death is painful.</v>
      </c>
      <c r="D2132" s="2"/>
      <c r="E2132" s="2"/>
      <c r="F2132" s="2"/>
      <c r="G2132" s="2"/>
      <c r="H2132" s="3"/>
      <c r="I2132" s="3"/>
      <c r="J2132" s="3"/>
      <c r="K2132" s="3"/>
      <c r="L2132" s="3"/>
      <c r="M2132" s="3"/>
      <c r="N2132" s="3"/>
      <c r="O2132" s="3"/>
      <c r="P2132" s="3"/>
      <c r="Q2132" s="3"/>
      <c r="R2132" s="3"/>
      <c r="S2132" s="3"/>
      <c r="T2132" s="3"/>
      <c r="U2132" s="3"/>
      <c r="V2132" s="3"/>
      <c r="W2132" s="3"/>
      <c r="X2132" s="3"/>
      <c r="Y2132" s="3"/>
      <c r="Z2132" s="3"/>
    </row>
    <row r="2133" spans="1:26" ht="15.6" x14ac:dyDescent="0.3">
      <c r="A2133" s="18" t="s">
        <v>3</v>
      </c>
      <c r="B2133" s="25" t="s">
        <v>2130</v>
      </c>
      <c r="C2133" s="2" t="str">
        <f ca="1">IFERROR(__xludf.DUMMYFUNCTION("GOOGLETRANSLATE(B2133, ""bn"", ""en"")"),"We are Muslims who are willing to give our lives for our Islam If Islam is our body, the Qur'an is our soul, if it touches our soul, I will not speak to anyone, inshallah.")</f>
        <v>We are Muslims who are willing to give our lives for our Islam If Islam is our body, the Qur'an is our soul, if it touches our soul, I will not speak to anyone, inshallah.</v>
      </c>
      <c r="D2133" s="2"/>
      <c r="E2133" s="2"/>
      <c r="F2133" s="2"/>
      <c r="G2133" s="2"/>
      <c r="H2133" s="3"/>
      <c r="I2133" s="3"/>
      <c r="J2133" s="3"/>
      <c r="K2133" s="3"/>
      <c r="L2133" s="3"/>
      <c r="M2133" s="3"/>
      <c r="N2133" s="3"/>
      <c r="O2133" s="3"/>
      <c r="P2133" s="3"/>
      <c r="Q2133" s="3"/>
      <c r="R2133" s="3"/>
      <c r="S2133" s="3"/>
      <c r="T2133" s="3"/>
      <c r="U2133" s="3"/>
      <c r="V2133" s="3"/>
      <c r="W2133" s="3"/>
      <c r="X2133" s="3"/>
      <c r="Y2133" s="3"/>
      <c r="Z2133" s="3"/>
    </row>
    <row r="2134" spans="1:26" ht="15.6" x14ac:dyDescent="0.3">
      <c r="A2134" s="19" t="s">
        <v>5</v>
      </c>
      <c r="B2134" s="26" t="s">
        <v>2131</v>
      </c>
      <c r="C2134" s="2" t="str">
        <f ca="1">IFERROR(__xludf.DUMMYFUNCTION("GOOGLETRANSLATE(B2134, ""bn"", ""en"")"),"Whatever you do in the world, no matter what you do, at least leave a legacy to your relatives that you are buried in a religious manner after your death.")</f>
        <v>Whatever you do in the world, no matter what you do, at least leave a legacy to your relatives that you are buried in a religious manner after your death.</v>
      </c>
      <c r="D2134" s="5"/>
      <c r="E2134" s="5"/>
      <c r="F2134" s="5"/>
      <c r="G2134" s="5"/>
      <c r="H2134" s="5"/>
      <c r="I2134" s="5"/>
      <c r="J2134" s="5"/>
      <c r="K2134" s="5"/>
      <c r="L2134" s="5"/>
      <c r="M2134" s="5"/>
      <c r="N2134" s="5"/>
      <c r="O2134" s="5"/>
      <c r="P2134" s="5"/>
      <c r="Q2134" s="5"/>
      <c r="R2134" s="5"/>
      <c r="S2134" s="5"/>
      <c r="T2134" s="5"/>
      <c r="U2134" s="5"/>
      <c r="V2134" s="5"/>
      <c r="W2134" s="5"/>
      <c r="X2134" s="5"/>
      <c r="Y2134" s="5"/>
      <c r="Z2134" s="5"/>
    </row>
    <row r="2135" spans="1:26" ht="15.6" x14ac:dyDescent="0.3">
      <c r="A2135" s="18" t="s">
        <v>8</v>
      </c>
      <c r="B2135" s="25" t="s">
        <v>2132</v>
      </c>
      <c r="C2135" s="2" t="str">
        <f ca="1">IFERROR(__xludf.DUMMYFUNCTION("GOOGLETRANSLATE(B2135, ""bn"", ""en"")"),"The Muslim army captured numerous Hindu Jats as prisoners of war and transferred them elsewhere as slaves.")</f>
        <v>The Muslim army captured numerous Hindu Jats as prisoners of war and transferred them elsewhere as slaves.</v>
      </c>
      <c r="D2135" s="2"/>
      <c r="E2135" s="2"/>
      <c r="F2135" s="2"/>
      <c r="G2135" s="2"/>
      <c r="H2135" s="3"/>
      <c r="I2135" s="3"/>
      <c r="J2135" s="3"/>
      <c r="K2135" s="3"/>
      <c r="L2135" s="3"/>
      <c r="M2135" s="3"/>
      <c r="N2135" s="3"/>
      <c r="O2135" s="3"/>
      <c r="P2135" s="3"/>
      <c r="Q2135" s="3"/>
      <c r="R2135" s="3"/>
      <c r="S2135" s="3"/>
      <c r="T2135" s="3"/>
      <c r="U2135" s="3"/>
      <c r="V2135" s="3"/>
      <c r="W2135" s="3"/>
      <c r="X2135" s="3"/>
      <c r="Y2135" s="3"/>
      <c r="Z2135" s="3"/>
    </row>
    <row r="2136" spans="1:26" ht="15.6" x14ac:dyDescent="0.3">
      <c r="A2136" s="19" t="s">
        <v>5</v>
      </c>
      <c r="B2136" s="26" t="s">
        <v>2133</v>
      </c>
      <c r="C2136" s="2" t="str">
        <f ca="1">IFERROR(__xludf.DUMMYFUNCTION("GOOGLETRANSLATE(B2136, ""bn"", ""en"")"),"The text was cited as the origin of sati-dah, with varied readings emphasizing authority that the widow actually sacrificed herself by joining the funeral procession with her dead husband.")</f>
        <v>The text was cited as the origin of sati-dah, with varied readings emphasizing authority that the widow actually sacrificed herself by joining the funeral procession with her dead husband.</v>
      </c>
      <c r="D2136" s="5"/>
      <c r="E2136" s="5"/>
      <c r="F2136" s="5"/>
      <c r="G2136" s="5"/>
      <c r="H2136" s="5"/>
      <c r="I2136" s="5"/>
      <c r="J2136" s="5"/>
      <c r="K2136" s="5"/>
      <c r="L2136" s="5"/>
      <c r="M2136" s="5"/>
      <c r="N2136" s="5"/>
      <c r="O2136" s="5"/>
      <c r="P2136" s="5"/>
      <c r="Q2136" s="5"/>
      <c r="R2136" s="5"/>
      <c r="S2136" s="5"/>
      <c r="T2136" s="5"/>
      <c r="U2136" s="5"/>
      <c r="V2136" s="5"/>
      <c r="W2136" s="5"/>
      <c r="X2136" s="5"/>
      <c r="Y2136" s="5"/>
      <c r="Z2136" s="5"/>
    </row>
    <row r="2137" spans="1:26" ht="15.6" x14ac:dyDescent="0.3">
      <c r="A2137" s="19" t="s">
        <v>5</v>
      </c>
      <c r="B2137" s="26" t="s">
        <v>2134</v>
      </c>
      <c r="C2137" s="2" t="str">
        <f ca="1">IFERROR(__xludf.DUMMYFUNCTION("GOOGLETRANSLATE(B2137, ""bn"", ""en"")"),"In 2008, the involvement of religious extremist organizations in the explosion outside a mosque in Bangladesh emerged.")</f>
        <v>In 2008, the involvement of religious extremist organizations in the explosion outside a mosque in Bangladesh emerged.</v>
      </c>
      <c r="D2137" s="7"/>
      <c r="E2137" s="7"/>
      <c r="F2137" s="7"/>
      <c r="G2137" s="7"/>
      <c r="H2137" s="7"/>
      <c r="I2137" s="7"/>
      <c r="J2137" s="5"/>
      <c r="K2137" s="5"/>
      <c r="L2137" s="5"/>
      <c r="M2137" s="5"/>
      <c r="N2137" s="5"/>
      <c r="O2137" s="5"/>
      <c r="P2137" s="5"/>
      <c r="Q2137" s="5"/>
      <c r="R2137" s="5"/>
      <c r="S2137" s="5"/>
      <c r="T2137" s="5"/>
      <c r="U2137" s="5"/>
      <c r="V2137" s="5"/>
      <c r="W2137" s="5"/>
      <c r="X2137" s="5"/>
      <c r="Y2137" s="5"/>
      <c r="Z2137" s="5"/>
    </row>
    <row r="2138" spans="1:26" ht="15.6" x14ac:dyDescent="0.3">
      <c r="A2138" s="18" t="s">
        <v>8</v>
      </c>
      <c r="B2138" s="24" t="s">
        <v>2135</v>
      </c>
      <c r="C2138" s="2" t="str">
        <f ca="1">IFERROR(__xludf.DUMMYFUNCTION("GOOGLETRANSLATE(B2138, ""bn"", ""en"")"),"Stones were thrown on the roof of the temple under construction in Sherpur and the idol structure was demolished.")</f>
        <v>Stones were thrown on the roof of the temple under construction in Sherpur and the idol structure was demolished.</v>
      </c>
      <c r="D2138" s="5"/>
      <c r="E2138" s="5"/>
      <c r="F2138" s="5"/>
      <c r="G2138" s="5"/>
      <c r="H2138" s="5"/>
      <c r="I2138" s="5"/>
      <c r="J2138" s="5"/>
      <c r="K2138" s="5"/>
      <c r="L2138" s="5"/>
      <c r="M2138" s="5"/>
      <c r="N2138" s="5"/>
      <c r="O2138" s="5"/>
      <c r="P2138" s="5"/>
      <c r="Q2138" s="5"/>
      <c r="R2138" s="5"/>
      <c r="S2138" s="5"/>
      <c r="T2138" s="5"/>
      <c r="U2138" s="5"/>
      <c r="V2138" s="5"/>
      <c r="W2138" s="5"/>
      <c r="X2138" s="5"/>
      <c r="Y2138" s="5"/>
      <c r="Z2138" s="5"/>
    </row>
    <row r="2139" spans="1:26" ht="15.6" x14ac:dyDescent="0.3">
      <c r="A2139" s="18" t="s">
        <v>5</v>
      </c>
      <c r="B2139" s="25" t="s">
        <v>2136</v>
      </c>
      <c r="C2139" s="2" t="str">
        <f ca="1">IFERROR(__xludf.DUMMYFUNCTION("GOOGLETRANSLATE(B2139, ""bn"", ""en"")"),"Bangladesh Hindu Buddhist Christian Unity Council claimed in a press conference that 23 people have been killed in communal violence in the country in the last four and a half months after the uprising.")</f>
        <v>Bangladesh Hindu Buddhist Christian Unity Council claimed in a press conference that 23 people have been killed in communal violence in the country in the last four and a half months after the uprising.</v>
      </c>
      <c r="D2139" s="2"/>
      <c r="E2139" s="2"/>
      <c r="F2139" s="2"/>
      <c r="G2139" s="2"/>
      <c r="H2139" s="3"/>
      <c r="I2139" s="3"/>
      <c r="J2139" s="3"/>
      <c r="K2139" s="3"/>
      <c r="L2139" s="3"/>
      <c r="M2139" s="3"/>
      <c r="N2139" s="3"/>
      <c r="O2139" s="3"/>
      <c r="P2139" s="3"/>
      <c r="Q2139" s="3"/>
      <c r="R2139" s="3"/>
      <c r="S2139" s="3"/>
      <c r="T2139" s="3"/>
      <c r="U2139" s="3"/>
      <c r="V2139" s="3"/>
      <c r="W2139" s="3"/>
      <c r="X2139" s="3"/>
      <c r="Y2139" s="3"/>
      <c r="Z2139" s="3"/>
    </row>
    <row r="2140" spans="1:26" ht="15.6" x14ac:dyDescent="0.3">
      <c r="A2140" s="18" t="s">
        <v>23</v>
      </c>
      <c r="B2140" s="24" t="s">
        <v>2137</v>
      </c>
      <c r="C2140" s="2" t="str">
        <f ca="1">IFERROR(__xludf.DUMMYFUNCTION("GOOGLETRANSLATE(B2140, ""bn"", ""en"")"),"Some in the Christian community create divisions and destroy religious unity in the name of conversion.")</f>
        <v>Some in the Christian community create divisions and destroy religious unity in the name of conversion.</v>
      </c>
      <c r="D2140" s="5"/>
      <c r="E2140" s="5"/>
      <c r="F2140" s="5"/>
      <c r="G2140" s="5"/>
      <c r="H2140" s="5"/>
      <c r="I2140" s="5"/>
      <c r="J2140" s="5"/>
      <c r="K2140" s="5"/>
      <c r="L2140" s="5"/>
      <c r="M2140" s="5"/>
      <c r="N2140" s="5"/>
      <c r="O2140" s="5"/>
      <c r="P2140" s="5"/>
      <c r="Q2140" s="5"/>
      <c r="R2140" s="5"/>
      <c r="S2140" s="5"/>
      <c r="T2140" s="5"/>
      <c r="U2140" s="5"/>
      <c r="V2140" s="5"/>
      <c r="W2140" s="5"/>
      <c r="X2140" s="5"/>
      <c r="Y2140" s="5"/>
      <c r="Z2140" s="5"/>
    </row>
    <row r="2141" spans="1:26" ht="15.6" x14ac:dyDescent="0.3">
      <c r="A2141" s="18" t="s">
        <v>23</v>
      </c>
      <c r="B2141" s="25" t="s">
        <v>2138</v>
      </c>
      <c r="C2141" s="2" t="str">
        <f ca="1">IFERROR(__xludf.DUMMYFUNCTION("GOOGLETRANSLATE(B2141, ""bn"", ""en"")"),"Religion first not people first. People came for religion or religion for people. As long as people are judged by their religious beliefs, minorities will suffer deprivation.")</f>
        <v>Religion first not people first. People came for religion or religion for people. As long as people are judged by their religious beliefs, minorities will suffer deprivation.</v>
      </c>
      <c r="D2141" s="6"/>
      <c r="E2141" s="6"/>
      <c r="F2141" s="6"/>
      <c r="G2141" s="6"/>
      <c r="H2141" s="3"/>
      <c r="I2141" s="3"/>
      <c r="J2141" s="3"/>
      <c r="K2141" s="3"/>
      <c r="L2141" s="3"/>
      <c r="M2141" s="3"/>
      <c r="N2141" s="3"/>
      <c r="O2141" s="3"/>
      <c r="P2141" s="3"/>
      <c r="Q2141" s="3"/>
      <c r="R2141" s="3"/>
      <c r="S2141" s="3"/>
      <c r="T2141" s="3"/>
      <c r="U2141" s="3"/>
      <c r="V2141" s="3"/>
      <c r="W2141" s="3"/>
      <c r="X2141" s="3"/>
      <c r="Y2141" s="3"/>
      <c r="Z2141" s="3"/>
    </row>
    <row r="2142" spans="1:26" ht="15.6" x14ac:dyDescent="0.3">
      <c r="A2142" s="18" t="s">
        <v>5</v>
      </c>
      <c r="B2142" s="24" t="s">
        <v>2139</v>
      </c>
      <c r="C2142" s="2" t="str">
        <f ca="1">IFERROR(__xludf.DUMMYFUNCTION("GOOGLETRANSLATE(B2142, ""bn"", ""en"")"),"From October 13 to 19, 2021, Hindus were attacked across the country when rumors of desecration of the Quran spread in Comilla during Durga Puja. Over 80 temples and shrines were vandalized, at least 8 people were killed.")</f>
        <v>From October 13 to 19, 2021, Hindus were attacked across the country when rumors of desecration of the Quran spread in Comilla during Durga Puja. Over 80 temples and shrines were vandalized, at least 8 people were killed.</v>
      </c>
      <c r="D2142" s="5"/>
      <c r="E2142" s="5"/>
      <c r="F2142" s="5"/>
      <c r="G2142" s="5"/>
      <c r="H2142" s="5"/>
      <c r="I2142" s="5"/>
      <c r="J2142" s="5"/>
      <c r="K2142" s="5"/>
      <c r="L2142" s="5"/>
      <c r="M2142" s="5"/>
      <c r="N2142" s="5"/>
      <c r="O2142" s="5"/>
      <c r="P2142" s="5"/>
      <c r="Q2142" s="5"/>
      <c r="R2142" s="5"/>
      <c r="S2142" s="5"/>
      <c r="T2142" s="5"/>
      <c r="U2142" s="5"/>
      <c r="V2142" s="5"/>
      <c r="W2142" s="5"/>
      <c r="X2142" s="5"/>
      <c r="Y2142" s="5"/>
      <c r="Z2142" s="5"/>
    </row>
    <row r="2143" spans="1:26" ht="15.6" x14ac:dyDescent="0.3">
      <c r="A2143" s="18" t="s">
        <v>5</v>
      </c>
      <c r="B2143" s="25" t="s">
        <v>2140</v>
      </c>
      <c r="C2143" s="2" t="str">
        <f ca="1">IFERROR(__xludf.DUMMYFUNCTION("GOOGLETRANSLATE(B2143, ""bn"", ""en"")"),"A barbaric attack on Hindus with the help of Razakars at Gava Narerakathi killed more than a hundred people and many committed suicide or fled the village in self-defence.")</f>
        <v>A barbaric attack on Hindus with the help of Razakars at Gava Narerakathi killed more than a hundred people and many committed suicide or fled the village in self-defence.</v>
      </c>
      <c r="D2143" s="5"/>
      <c r="E2143" s="5"/>
      <c r="F2143" s="5"/>
      <c r="G2143" s="5"/>
      <c r="H2143" s="5"/>
      <c r="I2143" s="5"/>
      <c r="J2143" s="5"/>
      <c r="K2143" s="5"/>
      <c r="L2143" s="5"/>
      <c r="M2143" s="5"/>
      <c r="N2143" s="5"/>
      <c r="O2143" s="5"/>
      <c r="P2143" s="5"/>
      <c r="Q2143" s="5"/>
      <c r="R2143" s="5"/>
      <c r="S2143" s="5"/>
      <c r="T2143" s="5"/>
      <c r="U2143" s="5"/>
      <c r="V2143" s="5"/>
      <c r="W2143" s="5"/>
      <c r="X2143" s="5"/>
      <c r="Y2143" s="5"/>
      <c r="Z2143" s="5"/>
    </row>
    <row r="2144" spans="1:26" ht="15.6" x14ac:dyDescent="0.3">
      <c r="A2144" s="18" t="s">
        <v>8</v>
      </c>
      <c r="B2144" s="24" t="s">
        <v>2141</v>
      </c>
      <c r="C2144" s="2" t="str">
        <f ca="1">IFERROR(__xludf.DUMMYFUNCTION("GOOGLETRANSLATE(B2144, ""bn"", ""en"")"),"During a Hindu puja in Jessore, an attempt was made to set fire to the pandal, puja items and idols were smashed.")</f>
        <v>During a Hindu puja in Jessore, an attempt was made to set fire to the pandal, puja items and idols were smashed.</v>
      </c>
      <c r="D2144" s="5"/>
      <c r="E2144" s="5"/>
      <c r="F2144" s="5"/>
      <c r="G2144" s="5"/>
      <c r="H2144" s="5"/>
      <c r="I2144" s="5"/>
      <c r="J2144" s="5"/>
      <c r="K2144" s="5"/>
      <c r="L2144" s="5"/>
      <c r="M2144" s="5"/>
      <c r="N2144" s="5"/>
      <c r="O2144" s="5"/>
      <c r="P2144" s="5"/>
      <c r="Q2144" s="5"/>
      <c r="R2144" s="5"/>
      <c r="S2144" s="5"/>
      <c r="T2144" s="5"/>
      <c r="U2144" s="5"/>
      <c r="V2144" s="5"/>
      <c r="W2144" s="5"/>
      <c r="X2144" s="5"/>
      <c r="Y2144" s="5"/>
      <c r="Z2144" s="5"/>
    </row>
    <row r="2145" spans="1:26" ht="15.6" x14ac:dyDescent="0.3">
      <c r="A2145" s="18" t="s">
        <v>5</v>
      </c>
      <c r="B2145" s="24" t="s">
        <v>2142</v>
      </c>
      <c r="C2145" s="2" t="str">
        <f ca="1">IFERROR(__xludf.DUMMYFUNCTION("GOOGLETRANSLATE(B2145, ""bn"", ""en"")"),"In June 2019, an attack during a religious prayer killed children and the elderly and dumped the bodies in a river, killing 33 people.")</f>
        <v>In June 2019, an attack during a religious prayer killed children and the elderly and dumped the bodies in a river, killing 33 people.</v>
      </c>
      <c r="D2145" s="5"/>
      <c r="E2145" s="5"/>
      <c r="F2145" s="5"/>
      <c r="G2145" s="5"/>
      <c r="H2145" s="5"/>
      <c r="I2145" s="5"/>
      <c r="J2145" s="5"/>
      <c r="K2145" s="5"/>
      <c r="L2145" s="5"/>
      <c r="M2145" s="5"/>
      <c r="N2145" s="5"/>
      <c r="O2145" s="5"/>
      <c r="P2145" s="5"/>
      <c r="Q2145" s="5"/>
      <c r="R2145" s="5"/>
      <c r="S2145" s="5"/>
      <c r="T2145" s="5"/>
      <c r="U2145" s="5"/>
      <c r="V2145" s="5"/>
      <c r="W2145" s="5"/>
      <c r="X2145" s="5"/>
      <c r="Y2145" s="5"/>
      <c r="Z2145" s="5"/>
    </row>
    <row r="2146" spans="1:26" ht="15.6" x14ac:dyDescent="0.3">
      <c r="A2146" s="19" t="s">
        <v>8</v>
      </c>
      <c r="B2146" s="26" t="s">
        <v>2143</v>
      </c>
      <c r="C2146" s="2" t="str">
        <f ca="1">IFERROR(__xludf.DUMMYFUNCTION("GOOGLETRANSLATE(B2146, ""bn"", ""en"")"),"Clashes spread to an area near Bangladesh. A mosque was set on fire there.")</f>
        <v>Clashes spread to an area near Bangladesh. A mosque was set on fire there.</v>
      </c>
      <c r="D2146" s="7"/>
      <c r="E2146" s="7"/>
      <c r="F2146" s="7"/>
      <c r="G2146" s="5"/>
      <c r="H2146" s="5"/>
      <c r="I2146" s="5"/>
      <c r="J2146" s="5"/>
      <c r="K2146" s="5"/>
      <c r="L2146" s="5"/>
      <c r="M2146" s="5"/>
      <c r="N2146" s="5"/>
      <c r="O2146" s="5"/>
      <c r="P2146" s="5"/>
      <c r="Q2146" s="5"/>
      <c r="R2146" s="5"/>
      <c r="S2146" s="5"/>
      <c r="T2146" s="5"/>
      <c r="U2146" s="5"/>
      <c r="V2146" s="5"/>
      <c r="W2146" s="5"/>
      <c r="X2146" s="5"/>
      <c r="Y2146" s="5"/>
      <c r="Z2146" s="5"/>
    </row>
    <row r="2147" spans="1:26" ht="15.6" x14ac:dyDescent="0.3">
      <c r="A2147" s="18" t="s">
        <v>3</v>
      </c>
      <c r="B2147" s="25" t="s">
        <v>2144</v>
      </c>
      <c r="C2147" s="2" t="str">
        <f ca="1">IFERROR(__xludf.DUMMYFUNCTION("GOOGLETRANSLATE(B2147, ""bn"", ""en"")"),"A secular state is a concept related to secularism, where a state seeks to be officially neutral on religion and does not support religion or religions. [")</f>
        <v>A secular state is a concept related to secularism, where a state seeks to be officially neutral on religion and does not support religion or religions. [</v>
      </c>
      <c r="D2147" s="5"/>
      <c r="E2147" s="5"/>
      <c r="F2147" s="5"/>
      <c r="G2147" s="5"/>
      <c r="H2147" s="5"/>
      <c r="I2147" s="5"/>
      <c r="J2147" s="5"/>
      <c r="K2147" s="5"/>
      <c r="L2147" s="5"/>
      <c r="M2147" s="5"/>
      <c r="N2147" s="5"/>
      <c r="O2147" s="5"/>
      <c r="P2147" s="5"/>
      <c r="Q2147" s="5"/>
      <c r="R2147" s="5"/>
      <c r="S2147" s="5"/>
      <c r="T2147" s="5"/>
      <c r="U2147" s="5"/>
      <c r="V2147" s="5"/>
      <c r="W2147" s="5"/>
      <c r="X2147" s="5"/>
      <c r="Y2147" s="5"/>
      <c r="Z2147" s="5"/>
    </row>
    <row r="2148" spans="1:26" ht="15.6" x14ac:dyDescent="0.3">
      <c r="A2148" s="18" t="s">
        <v>23</v>
      </c>
      <c r="B2148" s="24" t="s">
        <v>1192</v>
      </c>
      <c r="C2148" s="2" t="str">
        <f ca="1">IFERROR(__xludf.DUMMYFUNCTION("GOOGLETRANSLATE(B2148, ""bn"", ""en"")"),"Extremist groups in the Muslim community are spreading religious extremism and creating hatred against other religions.")</f>
        <v>Extremist groups in the Muslim community are spreading religious extremism and creating hatred against other religions.</v>
      </c>
      <c r="D2148" s="5"/>
      <c r="E2148" s="5"/>
      <c r="F2148" s="5"/>
      <c r="G2148" s="5"/>
      <c r="H2148" s="5"/>
      <c r="I2148" s="5"/>
      <c r="J2148" s="5"/>
      <c r="K2148" s="5"/>
      <c r="L2148" s="5"/>
      <c r="M2148" s="5"/>
      <c r="N2148" s="5"/>
      <c r="O2148" s="5"/>
      <c r="P2148" s="5"/>
      <c r="Q2148" s="5"/>
      <c r="R2148" s="5"/>
      <c r="S2148" s="5"/>
      <c r="T2148" s="5"/>
      <c r="U2148" s="5"/>
      <c r="V2148" s="5"/>
      <c r="W2148" s="5"/>
      <c r="X2148" s="5"/>
      <c r="Y2148" s="5"/>
      <c r="Z2148" s="5"/>
    </row>
    <row r="2149" spans="1:26" ht="15.6" x14ac:dyDescent="0.3">
      <c r="A2149" s="18" t="s">
        <v>5</v>
      </c>
      <c r="B2149" s="25" t="s">
        <v>2145</v>
      </c>
      <c r="C2149" s="2" t="str">
        <f ca="1">IFERROR(__xludf.DUMMYFUNCTION("GOOGLETRANSLATE(B2149, ""bn"", ""en"")"),"Many women have committed suicide or been burned alive in sati-dah, a ritual imposed on Hindu widows, which has been a symbol of brutal religious persecution of women since ancient times.")</f>
        <v>Many women have committed suicide or been burned alive in sati-dah, a ritual imposed on Hindu widows, which has been a symbol of brutal religious persecution of women since ancient times.</v>
      </c>
      <c r="D2149" s="5"/>
      <c r="E2149" s="5"/>
      <c r="F2149" s="5"/>
      <c r="G2149" s="5"/>
      <c r="H2149" s="5"/>
      <c r="I2149" s="5"/>
      <c r="J2149" s="5"/>
      <c r="K2149" s="5"/>
      <c r="L2149" s="5"/>
      <c r="M2149" s="5"/>
      <c r="N2149" s="5"/>
      <c r="O2149" s="5"/>
      <c r="P2149" s="5"/>
      <c r="Q2149" s="5"/>
      <c r="R2149" s="5"/>
      <c r="S2149" s="5"/>
      <c r="T2149" s="5"/>
      <c r="U2149" s="5"/>
      <c r="V2149" s="5"/>
      <c r="W2149" s="5"/>
      <c r="X2149" s="5"/>
      <c r="Y2149" s="5"/>
      <c r="Z2149" s="5"/>
    </row>
    <row r="2150" spans="1:26" ht="15.6" x14ac:dyDescent="0.3">
      <c r="A2150" s="18" t="s">
        <v>5</v>
      </c>
      <c r="B2150" s="24" t="s">
        <v>2146</v>
      </c>
      <c r="C2150" s="2" t="str">
        <f ca="1">IFERROR(__xludf.DUMMYFUNCTION("GOOGLETRANSLATE(B2150, ""bn"", ""en"")"),"A group vandalized the temple in religious hatred, killing 26 people in the clash.")</f>
        <v>A group vandalized the temple in religious hatred, killing 26 people in the clash.</v>
      </c>
      <c r="D2150" s="5"/>
      <c r="E2150" s="5"/>
      <c r="F2150" s="5"/>
      <c r="G2150" s="5"/>
      <c r="H2150" s="5"/>
      <c r="I2150" s="5"/>
      <c r="J2150" s="5"/>
      <c r="K2150" s="5"/>
      <c r="L2150" s="5"/>
      <c r="M2150" s="5"/>
      <c r="N2150" s="5"/>
      <c r="O2150" s="5"/>
      <c r="P2150" s="5"/>
      <c r="Q2150" s="5"/>
      <c r="R2150" s="5"/>
      <c r="S2150" s="5"/>
      <c r="T2150" s="5"/>
      <c r="U2150" s="5"/>
      <c r="V2150" s="5"/>
      <c r="W2150" s="5"/>
      <c r="X2150" s="5"/>
      <c r="Y2150" s="5"/>
      <c r="Z2150" s="5"/>
    </row>
    <row r="2151" spans="1:26" ht="15.6" x14ac:dyDescent="0.3">
      <c r="A2151" s="19" t="s">
        <v>3</v>
      </c>
      <c r="B2151" s="26" t="s">
        <v>2147</v>
      </c>
      <c r="C2151" s="2" t="str">
        <f ca="1">IFERROR(__xludf.DUMMYFUNCTION("GOOGLETRANSLATE(B2151, ""bn"", ""en"")"),"""Freedom of religion"" is its basic framework guaranteed by the Bangladeshi constitution where it calls for equal rights for all its citizens regardless of their religious differences and it prohibits discrimination of religion in various fields.")</f>
        <v>"Freedom of religion" is its basic framework guaranteed by the Bangladeshi constitution where it calls for equal rights for all its citizens regardless of their religious differences and it prohibits discrimination of religion in various fields.</v>
      </c>
      <c r="D2151" s="5"/>
      <c r="E2151" s="5"/>
      <c r="F2151" s="5"/>
      <c r="G2151" s="5"/>
      <c r="H2151" s="5"/>
      <c r="I2151" s="5"/>
      <c r="J2151" s="5"/>
      <c r="K2151" s="5"/>
      <c r="L2151" s="5"/>
      <c r="M2151" s="5"/>
      <c r="N2151" s="5"/>
      <c r="O2151" s="5"/>
      <c r="P2151" s="5"/>
      <c r="Q2151" s="5"/>
      <c r="R2151" s="5"/>
      <c r="S2151" s="5"/>
      <c r="T2151" s="5"/>
      <c r="U2151" s="5"/>
      <c r="V2151" s="5"/>
      <c r="W2151" s="5"/>
      <c r="X2151" s="5"/>
      <c r="Y2151" s="5"/>
      <c r="Z2151" s="5"/>
    </row>
    <row r="2152" spans="1:26" ht="15.6" x14ac:dyDescent="0.3">
      <c r="A2152" s="19" t="s">
        <v>5</v>
      </c>
      <c r="B2152" s="26" t="s">
        <v>2148</v>
      </c>
      <c r="C2152" s="2" t="str">
        <f ca="1">IFERROR(__xludf.DUMMYFUNCTION("GOOGLETRANSLATE(B2152, ""bn"", ""en"")"),"In the afternoon of 14th February Muslims looted a market place called Lamabazar. Looting and killing began in the countryside from the morning of 15th February. A village called Murthy was attacked at nine o'clock in the morning. Thousands of Muslims thr"&amp;"onged Senapati's family with anti-Hindu slogans.")</f>
        <v>In the afternoon of 14th February Muslims looted a market place called Lamabazar. Looting and killing began in the countryside from the morning of 15th February. A village called Murthy was attacked at nine o'clock in the morning. Thousands of Muslims thronged Senapati's family with anti-Hindu slogans.</v>
      </c>
      <c r="D2152" s="7"/>
      <c r="E2152" s="7"/>
      <c r="F2152" s="7"/>
      <c r="G2152" s="7"/>
      <c r="H2152" s="5"/>
      <c r="I2152" s="5"/>
      <c r="J2152" s="5"/>
      <c r="K2152" s="5"/>
      <c r="L2152" s="5"/>
      <c r="M2152" s="5"/>
      <c r="N2152" s="5"/>
      <c r="O2152" s="5"/>
      <c r="P2152" s="5"/>
      <c r="Q2152" s="5"/>
      <c r="R2152" s="5"/>
      <c r="S2152" s="5"/>
      <c r="T2152" s="5"/>
      <c r="U2152" s="5"/>
      <c r="V2152" s="5"/>
      <c r="W2152" s="5"/>
      <c r="X2152" s="5"/>
      <c r="Y2152" s="5"/>
      <c r="Z2152" s="5"/>
    </row>
    <row r="2153" spans="1:26" ht="15.6" x14ac:dyDescent="0.3">
      <c r="A2153" s="19" t="s">
        <v>8</v>
      </c>
      <c r="B2153" s="26" t="s">
        <v>2149</v>
      </c>
      <c r="C2153" s="2" t="str">
        <f ca="1">IFERROR(__xludf.DUMMYFUNCTION("GOOGLETRANSLATE(B2153, ""bn"", ""en"")"),"Regarding those who oppress people and deprive them of their rightful rights, the Prophet (PBUH) said, ""Surely, those who wrongfully afflict people, Allah Ta'ala will punish them.""")</f>
        <v>Regarding those who oppress people and deprive them of their rightful rights, the Prophet (PBUH) said, "Surely, those who wrongfully afflict people, Allah Ta'ala will punish them."</v>
      </c>
      <c r="D2153" s="5"/>
      <c r="E2153" s="5"/>
      <c r="F2153" s="5"/>
      <c r="G2153" s="5"/>
      <c r="H2153" s="5"/>
      <c r="I2153" s="5"/>
      <c r="J2153" s="5"/>
      <c r="K2153" s="5"/>
      <c r="L2153" s="5"/>
      <c r="M2153" s="5"/>
      <c r="N2153" s="5"/>
      <c r="O2153" s="5"/>
      <c r="P2153" s="5"/>
      <c r="Q2153" s="5"/>
      <c r="R2153" s="5"/>
      <c r="S2153" s="5"/>
      <c r="T2153" s="5"/>
      <c r="U2153" s="5"/>
      <c r="V2153" s="5"/>
      <c r="W2153" s="5"/>
      <c r="X2153" s="5"/>
      <c r="Y2153" s="5"/>
      <c r="Z2153" s="5"/>
    </row>
    <row r="2154" spans="1:26" ht="15.6" x14ac:dyDescent="0.3">
      <c r="A2154" s="19" t="s">
        <v>3</v>
      </c>
      <c r="B2154" s="26" t="s">
        <v>2150</v>
      </c>
      <c r="C2154" s="2" t="str">
        <f ca="1">IFERROR(__xludf.DUMMYFUNCTION("GOOGLETRANSLATE(B2154, ""bn"", ""en"")"),"Insults in the name of religion and degradation of moral and social norms are damaging our human values.")</f>
        <v>Insults in the name of religion and degradation of moral and social norms are damaging our human values.</v>
      </c>
      <c r="D2154" s="7"/>
      <c r="E2154" s="7"/>
      <c r="F2154" s="7"/>
      <c r="G2154" s="7"/>
      <c r="H2154" s="5"/>
      <c r="I2154" s="5"/>
      <c r="J2154" s="5"/>
      <c r="K2154" s="5"/>
      <c r="L2154" s="5"/>
      <c r="M2154" s="5"/>
      <c r="N2154" s="5"/>
      <c r="O2154" s="5"/>
      <c r="P2154" s="5"/>
      <c r="Q2154" s="5"/>
      <c r="R2154" s="5"/>
      <c r="S2154" s="5"/>
      <c r="T2154" s="5"/>
      <c r="U2154" s="5"/>
      <c r="V2154" s="5"/>
      <c r="W2154" s="5"/>
      <c r="X2154" s="5"/>
      <c r="Y2154" s="5"/>
      <c r="Z2154" s="5"/>
    </row>
    <row r="2155" spans="1:26" ht="15.6" x14ac:dyDescent="0.3">
      <c r="A2155" s="18" t="s">
        <v>23</v>
      </c>
      <c r="B2155" s="25" t="s">
        <v>2151</v>
      </c>
      <c r="C2155" s="2" t="str">
        <f ca="1">IFERROR(__xludf.DUMMYFUNCTION("GOOGLETRANSLATE(B2155, ""bn"", ""en"")"),"Today, Allah Almighty has declared the result of those who insult the Quran and disrespect the Heavenly Book. These verses and the current Quran-blasphemy case have many lessons for Muslims.")</f>
        <v>Today, Allah Almighty has declared the result of those who insult the Quran and disrespect the Heavenly Book. These verses and the current Quran-blasphemy case have many lessons for Muslims.</v>
      </c>
      <c r="D2155" s="6"/>
      <c r="E2155" s="2"/>
      <c r="F2155" s="2"/>
      <c r="G2155" s="2"/>
      <c r="H2155" s="3"/>
      <c r="I2155" s="3"/>
      <c r="J2155" s="3"/>
      <c r="K2155" s="3"/>
      <c r="L2155" s="3"/>
      <c r="M2155" s="3"/>
      <c r="N2155" s="3"/>
      <c r="O2155" s="3"/>
      <c r="P2155" s="3"/>
      <c r="Q2155" s="3"/>
      <c r="R2155" s="3"/>
      <c r="S2155" s="3"/>
      <c r="T2155" s="3"/>
      <c r="U2155" s="3"/>
      <c r="V2155" s="3"/>
      <c r="W2155" s="3"/>
      <c r="X2155" s="3"/>
      <c r="Y2155" s="3"/>
      <c r="Z2155" s="3"/>
    </row>
    <row r="2156" spans="1:26" ht="15.6" x14ac:dyDescent="0.3">
      <c r="A2156" s="18" t="s">
        <v>8</v>
      </c>
      <c r="B2156" s="25" t="s">
        <v>2152</v>
      </c>
      <c r="C2156" s="2" t="str">
        <f ca="1">IFERROR(__xludf.DUMMYFUNCTION("GOOGLETRANSLATE(B2156, ""bn"", ""en"")"),"Between 2001 and April 2005, one hundred cases of temple attacks were registered with the police.")</f>
        <v>Between 2001 and April 2005, one hundred cases of temple attacks were registered with the police.</v>
      </c>
      <c r="D2156" s="2"/>
      <c r="E2156" s="2"/>
      <c r="F2156" s="2"/>
      <c r="G2156" s="2"/>
      <c r="H2156" s="3"/>
      <c r="I2156" s="3"/>
      <c r="J2156" s="3"/>
      <c r="K2156" s="3"/>
      <c r="L2156" s="3"/>
      <c r="M2156" s="3"/>
      <c r="N2156" s="3"/>
      <c r="O2156" s="3"/>
      <c r="P2156" s="3"/>
      <c r="Q2156" s="3"/>
      <c r="R2156" s="3"/>
      <c r="S2156" s="3"/>
      <c r="T2156" s="3"/>
      <c r="U2156" s="3"/>
      <c r="V2156" s="3"/>
      <c r="W2156" s="3"/>
      <c r="X2156" s="3"/>
      <c r="Y2156" s="3"/>
      <c r="Z2156" s="3"/>
    </row>
    <row r="2157" spans="1:26" ht="15.6" x14ac:dyDescent="0.3">
      <c r="A2157" s="18" t="s">
        <v>3</v>
      </c>
      <c r="B2157" s="25" t="s">
        <v>2153</v>
      </c>
      <c r="C2157" s="2" t="str">
        <f ca="1">IFERROR(__xludf.DUMMYFUNCTION("GOOGLETRANSLATE(B2157, ""bn"", ""en"")"),"In the Islam and Science group, Islamic people can practice Islamic science to their heart's content...! At the same time, criticism of other religions will be kept to themselves. Please do not add heathens to the Islam and Science group")</f>
        <v>In the Islam and Science group, Islamic people can practice Islamic science to their heart's content...! At the same time, criticism of other religions will be kept to themselves. Please do not add heathens to the Islam and Science group</v>
      </c>
      <c r="D2157" s="7"/>
      <c r="E2157" s="7"/>
      <c r="F2157" s="7"/>
      <c r="G2157" s="7"/>
      <c r="H2157" s="7"/>
      <c r="I2157" s="7"/>
      <c r="J2157" s="7"/>
      <c r="K2157" s="7"/>
      <c r="L2157" s="7"/>
      <c r="M2157" s="7"/>
      <c r="N2157" s="7"/>
      <c r="O2157" s="7"/>
      <c r="P2157" s="5"/>
      <c r="Q2157" s="5"/>
      <c r="R2157" s="5"/>
      <c r="S2157" s="5"/>
      <c r="T2157" s="5"/>
      <c r="U2157" s="5"/>
      <c r="V2157" s="5"/>
      <c r="W2157" s="5"/>
      <c r="X2157" s="5"/>
      <c r="Y2157" s="5"/>
      <c r="Z2157" s="5"/>
    </row>
    <row r="2158" spans="1:26" ht="15.6" x14ac:dyDescent="0.3">
      <c r="A2158" s="19" t="s">
        <v>3</v>
      </c>
      <c r="B2158" s="26" t="s">
        <v>2154</v>
      </c>
      <c r="C2158" s="2" t="str">
        <f ca="1">IFERROR(__xludf.DUMMYFUNCTION("GOOGLETRANSLATE(B2158, ""bn"", ""en"")"),"The second leading cause of suicide is false expectations; One may think that committing suicide will get rid of sadness and pain.")</f>
        <v>The second leading cause of suicide is false expectations; One may think that committing suicide will get rid of sadness and pain.</v>
      </c>
      <c r="D2158" s="7"/>
      <c r="E2158" s="7"/>
      <c r="F2158" s="7"/>
      <c r="G2158" s="7"/>
      <c r="H2158" s="5"/>
      <c r="I2158" s="5"/>
      <c r="J2158" s="5"/>
      <c r="K2158" s="5"/>
      <c r="L2158" s="5"/>
      <c r="M2158" s="5"/>
      <c r="N2158" s="5"/>
      <c r="O2158" s="5"/>
      <c r="P2158" s="5"/>
      <c r="Q2158" s="5"/>
      <c r="R2158" s="5"/>
      <c r="S2158" s="5"/>
      <c r="T2158" s="5"/>
      <c r="U2158" s="5"/>
      <c r="V2158" s="5"/>
      <c r="W2158" s="5"/>
      <c r="X2158" s="5"/>
      <c r="Y2158" s="5"/>
      <c r="Z2158" s="5"/>
    </row>
    <row r="2159" spans="1:26" ht="15.6" x14ac:dyDescent="0.3">
      <c r="A2159" s="19" t="s">
        <v>3</v>
      </c>
      <c r="B2159" s="26" t="s">
        <v>2155</v>
      </c>
      <c r="C2159" s="2" t="str">
        <f ca="1">IFERROR(__xludf.DUMMYFUNCTION("GOOGLETRANSLATE(B2159, ""bn"", ""en"")"),"I was worried about my child, hearing your words calmed my mind. May Allah guide him to the right path.")</f>
        <v>I was worried about my child, hearing your words calmed my mind. May Allah guide him to the right path.</v>
      </c>
      <c r="D2159" s="7"/>
      <c r="E2159" s="7"/>
      <c r="F2159" s="7"/>
      <c r="G2159" s="5"/>
      <c r="H2159" s="5"/>
      <c r="I2159" s="5"/>
      <c r="J2159" s="5"/>
      <c r="K2159" s="5"/>
      <c r="L2159" s="5"/>
      <c r="M2159" s="5"/>
      <c r="N2159" s="5"/>
      <c r="O2159" s="5"/>
      <c r="P2159" s="5"/>
      <c r="Q2159" s="5"/>
      <c r="R2159" s="5"/>
      <c r="S2159" s="5"/>
      <c r="T2159" s="5"/>
      <c r="U2159" s="5"/>
      <c r="V2159" s="5"/>
      <c r="W2159" s="5"/>
      <c r="X2159" s="5"/>
      <c r="Y2159" s="5"/>
      <c r="Z2159" s="5"/>
    </row>
    <row r="2160" spans="1:26" ht="15.6" x14ac:dyDescent="0.3">
      <c r="A2160" s="18" t="s">
        <v>5</v>
      </c>
      <c r="B2160" s="24" t="s">
        <v>2156</v>
      </c>
      <c r="C2160" s="2" t="str">
        <f ca="1">IFERROR(__xludf.DUMMYFUNCTION("GOOGLETRANSLATE(B2160, ""bn"", ""en"")"),"In July 2019, extremists from a religious group banned blood donations from minorities; At least 41 patients died as a result.")</f>
        <v>In July 2019, extremists from a religious group banned blood donations from minorities; At least 41 patients died as a result.</v>
      </c>
      <c r="D2160" s="5"/>
      <c r="E2160" s="5"/>
      <c r="F2160" s="5"/>
      <c r="G2160" s="5"/>
      <c r="H2160" s="5"/>
      <c r="I2160" s="5"/>
      <c r="J2160" s="5"/>
      <c r="K2160" s="5"/>
      <c r="L2160" s="5"/>
      <c r="M2160" s="5"/>
      <c r="N2160" s="5"/>
      <c r="O2160" s="5"/>
      <c r="P2160" s="5"/>
      <c r="Q2160" s="5"/>
      <c r="R2160" s="5"/>
      <c r="S2160" s="5"/>
      <c r="T2160" s="5"/>
      <c r="U2160" s="5"/>
      <c r="V2160" s="5"/>
      <c r="W2160" s="5"/>
      <c r="X2160" s="5"/>
      <c r="Y2160" s="5"/>
      <c r="Z2160" s="5"/>
    </row>
    <row r="2161" spans="1:26" ht="15.6" x14ac:dyDescent="0.3">
      <c r="A2161" s="19" t="s">
        <v>5</v>
      </c>
      <c r="B2161" s="26" t="s">
        <v>2157</v>
      </c>
      <c r="C2161" s="2" t="str">
        <f ca="1">IFERROR(__xludf.DUMMYFUNCTION("GOOGLETRANSLATE(B2161, ""bn"", ""en"")"),"One person was killed and at least 15 were injured in Bangladesh.")</f>
        <v>One person was killed and at least 15 were injured in Bangladesh.</v>
      </c>
      <c r="D2161" s="5"/>
      <c r="E2161" s="5"/>
      <c r="F2161" s="5"/>
      <c r="G2161" s="5"/>
      <c r="H2161" s="5"/>
      <c r="I2161" s="5"/>
      <c r="J2161" s="5"/>
      <c r="K2161" s="5"/>
      <c r="L2161" s="5"/>
      <c r="M2161" s="5"/>
      <c r="N2161" s="5"/>
      <c r="O2161" s="5"/>
      <c r="P2161" s="5"/>
      <c r="Q2161" s="5"/>
      <c r="R2161" s="5"/>
      <c r="S2161" s="5"/>
      <c r="T2161" s="5"/>
      <c r="U2161" s="5"/>
      <c r="V2161" s="5"/>
      <c r="W2161" s="5"/>
      <c r="X2161" s="5"/>
      <c r="Y2161" s="5"/>
      <c r="Z2161" s="5"/>
    </row>
    <row r="2162" spans="1:26" ht="15.6" x14ac:dyDescent="0.3">
      <c r="A2162" s="19" t="s">
        <v>23</v>
      </c>
      <c r="B2162" s="26" t="s">
        <v>2158</v>
      </c>
      <c r="C2162" s="2" t="str">
        <f ca="1">IFERROR(__xludf.DUMMYFUNCTION("GOOGLETRANSLATE(B2162, ""bn"", ""en"")"),"For a Hindu to become a Muslim is not only to lose a member of Hindu society, but to gain an enemy")</f>
        <v>For a Hindu to become a Muslim is not only to lose a member of Hindu society, but to gain an enemy</v>
      </c>
      <c r="D2162" s="5"/>
      <c r="E2162" s="5"/>
      <c r="F2162" s="5"/>
      <c r="G2162" s="5"/>
      <c r="H2162" s="5"/>
      <c r="I2162" s="5"/>
      <c r="J2162" s="5"/>
      <c r="K2162" s="5"/>
      <c r="L2162" s="5"/>
      <c r="M2162" s="5"/>
      <c r="N2162" s="5"/>
      <c r="O2162" s="5"/>
      <c r="P2162" s="5"/>
      <c r="Q2162" s="5"/>
      <c r="R2162" s="5"/>
      <c r="S2162" s="5"/>
      <c r="T2162" s="5"/>
      <c r="U2162" s="5"/>
      <c r="V2162" s="5"/>
      <c r="W2162" s="5"/>
      <c r="X2162" s="5"/>
      <c r="Y2162" s="5"/>
      <c r="Z2162" s="5"/>
    </row>
    <row r="2163" spans="1:26" ht="15.6" x14ac:dyDescent="0.3">
      <c r="A2163" s="18" t="s">
        <v>8</v>
      </c>
      <c r="B2163" s="25" t="s">
        <v>2159</v>
      </c>
      <c r="C2163" s="2" t="str">
        <f ca="1">IFERROR(__xludf.DUMMYFUNCTION("GOOGLETRANSLATE(B2163, ""bn"", ""en"")"),"They entered the village, set fire to mosques and houses, looted cash, gold ornaments, shot dead innocent people on the basis of religious identity, stood in front of schools and carried out massacres.")</f>
        <v>They entered the village, set fire to mosques and houses, looted cash, gold ornaments, shot dead innocent people on the basis of religious identity, stood in front of schools and carried out massacres.</v>
      </c>
      <c r="D2163" s="5"/>
      <c r="E2163" s="5"/>
      <c r="F2163" s="5"/>
      <c r="G2163" s="5"/>
      <c r="H2163" s="5"/>
      <c r="I2163" s="5"/>
      <c r="J2163" s="5"/>
      <c r="K2163" s="5"/>
      <c r="L2163" s="5"/>
      <c r="M2163" s="5"/>
      <c r="N2163" s="5"/>
      <c r="O2163" s="5"/>
      <c r="P2163" s="5"/>
      <c r="Q2163" s="5"/>
      <c r="R2163" s="5"/>
      <c r="S2163" s="5"/>
      <c r="T2163" s="5"/>
      <c r="U2163" s="5"/>
      <c r="V2163" s="5"/>
      <c r="W2163" s="5"/>
      <c r="X2163" s="5"/>
      <c r="Y2163" s="5"/>
      <c r="Z2163" s="5"/>
    </row>
    <row r="2164" spans="1:26" ht="15.6" x14ac:dyDescent="0.3">
      <c r="A2164" s="19" t="s">
        <v>5</v>
      </c>
      <c r="B2164" s="26" t="s">
        <v>2160</v>
      </c>
      <c r="C2164" s="2" t="str">
        <f ca="1">IFERROR(__xludf.DUMMYFUNCTION("GOOGLETRANSLATE(B2164, ""bn"", ""en"")"),"Lined up, they were killed by brush fire from behind and those who survived were brutally hacked and hacked to death with sharp weapons. One by one, their bodies were thrown into a pile of dirt and a little soil was sprinkled on them. Men were selectively"&amp;" killed.[4] Shukhanpukhuri village five hundred yards south of Dhapdhup Bill. Which is now known as Widow Village or Widow Village.")</f>
        <v>Lined up, they were killed by brush fire from behind and those who survived were brutally hacked and hacked to death with sharp weapons. One by one, their bodies were thrown into a pile of dirt and a little soil was sprinkled on them. Men were selectively killed.[4] Shukhanpukhuri village five hundred yards south of Dhapdhup Bill. Which is now known as Widow Village or Widow Village.</v>
      </c>
      <c r="D2164" s="7"/>
      <c r="E2164" s="7"/>
      <c r="F2164" s="7"/>
      <c r="G2164" s="7"/>
      <c r="H2164" s="7"/>
      <c r="I2164" s="7"/>
      <c r="J2164" s="7"/>
      <c r="K2164" s="7"/>
      <c r="L2164" s="7"/>
      <c r="M2164" s="7"/>
      <c r="N2164" s="7"/>
      <c r="O2164" s="7"/>
      <c r="P2164" s="7"/>
      <c r="Q2164" s="7"/>
      <c r="R2164" s="7"/>
      <c r="S2164" s="7"/>
      <c r="T2164" s="5"/>
      <c r="U2164" s="5"/>
      <c r="V2164" s="5"/>
      <c r="W2164" s="5"/>
      <c r="X2164" s="5"/>
      <c r="Y2164" s="5"/>
      <c r="Z2164" s="5"/>
    </row>
    <row r="2165" spans="1:26" ht="15.6" x14ac:dyDescent="0.3">
      <c r="A2165" s="18" t="s">
        <v>8</v>
      </c>
      <c r="B2165" s="25" t="s">
        <v>2161</v>
      </c>
      <c r="C2165" s="2" t="str">
        <f ca="1">IFERROR(__xludf.DUMMYFUNCTION("GOOGLETRANSLATE(B2165, ""bn"", ""en"")"),"Four Buddhists were hacked and injured in Chittagong. One of them was a police inspector. Besides, several Buddhist monasteries were destroyed by Muslims.")</f>
        <v>Four Buddhists were hacked and injured in Chittagong. One of them was a police inspector. Besides, several Buddhist monasteries were destroyed by Muslims.</v>
      </c>
      <c r="D2165" s="2"/>
      <c r="E2165" s="2"/>
      <c r="F2165" s="2"/>
      <c r="G2165" s="2"/>
      <c r="H2165" s="5"/>
      <c r="I2165" s="5"/>
      <c r="J2165" s="5"/>
      <c r="K2165" s="5"/>
      <c r="L2165" s="5"/>
      <c r="M2165" s="5"/>
      <c r="N2165" s="5"/>
      <c r="O2165" s="5"/>
      <c r="P2165" s="5"/>
      <c r="Q2165" s="5"/>
      <c r="R2165" s="5"/>
      <c r="S2165" s="5"/>
      <c r="T2165" s="5"/>
      <c r="U2165" s="5"/>
      <c r="V2165" s="5"/>
      <c r="W2165" s="5"/>
      <c r="X2165" s="5"/>
      <c r="Y2165" s="5"/>
      <c r="Z2165" s="5"/>
    </row>
    <row r="2166" spans="1:26" ht="15.6" x14ac:dyDescent="0.3">
      <c r="A2166" s="18" t="s">
        <v>3</v>
      </c>
      <c r="B2166" s="25" t="s">
        <v>2162</v>
      </c>
      <c r="C2166" s="2" t="str">
        <f ca="1">IFERROR(__xludf.DUMMYFUNCTION("GOOGLETRANSLATE(B2166, ""bn"", ""en"")"),"It is mentioned in Surah An-Naml in the Qur'an that when the Prophet Sulaiman married Bilqis, the Queen of Sheba, he did not inherit her kingdom and vast wealth. The royal responsibility of the kingdom of Sheba and the ownership of its wealth belonged to "&amp;"Bilqis forever.")</f>
        <v>It is mentioned in Surah An-Naml in the Qur'an that when the Prophet Sulaiman married Bilqis, the Queen of Sheba, he did not inherit her kingdom and vast wealth. The royal responsibility of the kingdom of Sheba and the ownership of its wealth belonged to Bilqis forever.</v>
      </c>
      <c r="D2166" s="6"/>
      <c r="E2166" s="6"/>
      <c r="F2166" s="6"/>
      <c r="G2166" s="6"/>
      <c r="H2166" s="5"/>
      <c r="I2166" s="5"/>
      <c r="J2166" s="5"/>
      <c r="K2166" s="5"/>
      <c r="L2166" s="5"/>
      <c r="M2166" s="5"/>
      <c r="N2166" s="5"/>
      <c r="O2166" s="5"/>
      <c r="P2166" s="5"/>
      <c r="Q2166" s="5"/>
      <c r="R2166" s="5"/>
      <c r="S2166" s="5"/>
      <c r="T2166" s="5"/>
      <c r="U2166" s="5"/>
      <c r="V2166" s="5"/>
      <c r="W2166" s="5"/>
      <c r="X2166" s="5"/>
      <c r="Y2166" s="5"/>
      <c r="Z2166" s="5"/>
    </row>
    <row r="2167" spans="1:26" ht="15.6" x14ac:dyDescent="0.3">
      <c r="A2167" s="18" t="s">
        <v>23</v>
      </c>
      <c r="B2167" s="24" t="s">
        <v>2163</v>
      </c>
      <c r="C2167" s="2" t="str">
        <f ca="1">IFERROR(__xludf.DUMMYFUNCTION("GOOGLETRANSLATE(B2167, ""bn"", ""en"")"),"Some among the Hindus show religious bigotry and denigrate other religions, which is sowing the seeds of communal divisions in the country.")</f>
        <v>Some among the Hindus show religious bigotry and denigrate other religions, which is sowing the seeds of communal divisions in the country.</v>
      </c>
      <c r="D2167" s="5"/>
      <c r="E2167" s="5"/>
      <c r="F2167" s="5"/>
      <c r="G2167" s="5"/>
      <c r="H2167" s="5"/>
      <c r="I2167" s="5"/>
      <c r="J2167" s="5"/>
      <c r="K2167" s="5"/>
      <c r="L2167" s="5"/>
      <c r="M2167" s="5"/>
      <c r="N2167" s="5"/>
      <c r="O2167" s="5"/>
      <c r="P2167" s="5"/>
      <c r="Q2167" s="5"/>
      <c r="R2167" s="5"/>
      <c r="S2167" s="5"/>
      <c r="T2167" s="5"/>
      <c r="U2167" s="5"/>
      <c r="V2167" s="5"/>
      <c r="W2167" s="5"/>
      <c r="X2167" s="5"/>
      <c r="Y2167" s="5"/>
      <c r="Z2167" s="5"/>
    </row>
    <row r="2168" spans="1:26" ht="15.6" x14ac:dyDescent="0.3">
      <c r="A2168" s="19" t="s">
        <v>3</v>
      </c>
      <c r="B2168" s="26" t="s">
        <v>2164</v>
      </c>
      <c r="C2168" s="2" t="str">
        <f ca="1">IFERROR(__xludf.DUMMYFUNCTION("GOOGLETRANSLATE(B2168, ""bn"", ""en"")"),"Eye Jinn is so terrible that it can be seen in the eyes even when prostrating, Astaghfirullah.")</f>
        <v>Eye Jinn is so terrible that it can be seen in the eyes even when prostrating, Astaghfirullah.</v>
      </c>
      <c r="D2168" s="7"/>
      <c r="E2168" s="5"/>
      <c r="F2168" s="5"/>
      <c r="G2168" s="5"/>
      <c r="H2168" s="5"/>
      <c r="I2168" s="5"/>
      <c r="J2168" s="5"/>
      <c r="K2168" s="5"/>
      <c r="L2168" s="5"/>
      <c r="M2168" s="5"/>
      <c r="N2168" s="5"/>
      <c r="O2168" s="5"/>
      <c r="P2168" s="5"/>
      <c r="Q2168" s="5"/>
      <c r="R2168" s="5"/>
      <c r="S2168" s="5"/>
      <c r="T2168" s="5"/>
      <c r="U2168" s="5"/>
      <c r="V2168" s="5"/>
      <c r="W2168" s="5"/>
      <c r="X2168" s="5"/>
      <c r="Y2168" s="5"/>
      <c r="Z2168" s="5"/>
    </row>
    <row r="2169" spans="1:26" ht="15.6" x14ac:dyDescent="0.3">
      <c r="A2169" s="19" t="s">
        <v>5</v>
      </c>
      <c r="B2169" s="26" t="s">
        <v>2165</v>
      </c>
      <c r="C2169" s="2" t="str">
        <f ca="1">IFERROR(__xludf.DUMMYFUNCTION("GOOGLETRANSLATE(B2169, ""bn"", ""en"")"),"At least 39 people were killed, more than 365 churches were vandalized or destroyed, and more than 5,600 houses were looted or burned, government reports said. Granted, 600 villages were looted and more than 54,000 people were displaced.")</f>
        <v>At least 39 people were killed, more than 365 churches were vandalized or destroyed, and more than 5,600 houses were looted or burned, government reports said. Granted, 600 villages were looted and more than 54,000 people were displaced.</v>
      </c>
      <c r="D2169" s="2"/>
      <c r="E2169" s="2"/>
      <c r="F2169" s="2"/>
      <c r="G2169" s="2"/>
      <c r="H2169" s="3"/>
      <c r="I2169" s="3"/>
      <c r="J2169" s="3"/>
      <c r="K2169" s="3"/>
      <c r="L2169" s="3"/>
      <c r="M2169" s="3"/>
      <c r="N2169" s="3"/>
      <c r="O2169" s="3"/>
      <c r="P2169" s="3"/>
      <c r="Q2169" s="3"/>
      <c r="R2169" s="3"/>
      <c r="S2169" s="3"/>
      <c r="T2169" s="3"/>
      <c r="U2169" s="3"/>
      <c r="V2169" s="3"/>
      <c r="W2169" s="3"/>
      <c r="X2169" s="3"/>
      <c r="Y2169" s="3"/>
      <c r="Z2169" s="3"/>
    </row>
    <row r="2170" spans="1:26" ht="15.6" x14ac:dyDescent="0.3">
      <c r="A2170" s="19" t="s">
        <v>3</v>
      </c>
      <c r="B2170" s="26" t="s">
        <v>2166</v>
      </c>
      <c r="C2170" s="2" t="str">
        <f ca="1">IFERROR(__xludf.DUMMYFUNCTION("GOOGLETRANSLATE(B2170, ""bn"", ""en"")"),"ISKCON is an international organization that carries out peaceful religious practices and humanitarian activities, embodying Gaudiya Vaishnava religious ideals and traditional values. We have always worked for peace, harmony and amity. Committed to work o"&amp;"n the same ideals in the future")</f>
        <v>ISKCON is an international organization that carries out peaceful religious practices and humanitarian activities, embodying Gaudiya Vaishnava religious ideals and traditional values. We have always worked for peace, harmony and amity. Committed to work on the same ideals in the future</v>
      </c>
      <c r="D2170" s="7"/>
      <c r="E2170" s="7"/>
      <c r="F2170" s="7"/>
      <c r="G2170" s="7"/>
      <c r="H2170" s="7"/>
      <c r="I2170" s="5"/>
      <c r="J2170" s="5"/>
      <c r="K2170" s="5"/>
      <c r="L2170" s="5"/>
      <c r="M2170" s="5"/>
      <c r="N2170" s="5"/>
      <c r="O2170" s="5"/>
      <c r="P2170" s="5"/>
      <c r="Q2170" s="5"/>
      <c r="R2170" s="5"/>
      <c r="S2170" s="5"/>
      <c r="T2170" s="5"/>
      <c r="U2170" s="5"/>
      <c r="V2170" s="5"/>
      <c r="W2170" s="5"/>
      <c r="X2170" s="5"/>
      <c r="Y2170" s="5"/>
      <c r="Z2170" s="5"/>
    </row>
    <row r="2171" spans="1:26" ht="15.6" x14ac:dyDescent="0.3">
      <c r="A2171" s="18" t="s">
        <v>3</v>
      </c>
      <c r="B2171" s="25" t="s">
        <v>2167</v>
      </c>
      <c r="C2171" s="2" t="str">
        <f ca="1">IFERROR(__xludf.DUMMYFUNCTION("GOOGLETRANSLATE(B2171, ""bn"", ""en"")"),"Despite religious differences, if Hindus and Muslims live together in peace, they can respect each other's culture and traditions and create an environment of harmony and harmony in the society.")</f>
        <v>Despite religious differences, if Hindus and Muslims live together in peace, they can respect each other's culture and traditions and create an environment of harmony and harmony in the society.</v>
      </c>
      <c r="D2171" s="5"/>
      <c r="E2171" s="5"/>
      <c r="F2171" s="5"/>
      <c r="G2171" s="5"/>
      <c r="H2171" s="5"/>
      <c r="I2171" s="5"/>
      <c r="J2171" s="5"/>
      <c r="K2171" s="5"/>
      <c r="L2171" s="5"/>
      <c r="M2171" s="5"/>
      <c r="N2171" s="5"/>
      <c r="O2171" s="5"/>
      <c r="P2171" s="5"/>
      <c r="Q2171" s="5"/>
      <c r="R2171" s="5"/>
      <c r="S2171" s="5"/>
      <c r="T2171" s="5"/>
      <c r="U2171" s="5"/>
      <c r="V2171" s="5"/>
      <c r="W2171" s="5"/>
      <c r="X2171" s="5"/>
      <c r="Y2171" s="5"/>
      <c r="Z2171" s="5"/>
    </row>
    <row r="2172" spans="1:26" ht="15.6" x14ac:dyDescent="0.3">
      <c r="A2172" s="18" t="s">
        <v>8</v>
      </c>
      <c r="B2172" s="25" t="s">
        <v>2168</v>
      </c>
      <c r="C2172" s="2" t="str">
        <f ca="1">IFERROR(__xludf.DUMMYFUNCTION("GOOGLETRANSLATE(B2172, ""bn"", ""en"")"),"The government deployed the BGB (Border Guard Bangladesh) in 22 districts following the vandalism and arson of worship halls, temples and idols in Comilla, Bangladesh. [12] The government appealed to the general public to remain calm. is")</f>
        <v>The government deployed the BGB (Border Guard Bangladesh) in 22 districts following the vandalism and arson of worship halls, temples and idols in Comilla, Bangladesh. [12] The government appealed to the general public to remain calm. is</v>
      </c>
      <c r="D2172" s="5"/>
      <c r="E2172" s="5"/>
      <c r="F2172" s="5"/>
      <c r="G2172" s="5"/>
      <c r="H2172" s="5"/>
      <c r="I2172" s="5"/>
      <c r="J2172" s="5"/>
      <c r="K2172" s="5"/>
      <c r="L2172" s="5"/>
      <c r="M2172" s="5"/>
      <c r="N2172" s="5"/>
      <c r="O2172" s="5"/>
      <c r="P2172" s="5"/>
      <c r="Q2172" s="5"/>
      <c r="R2172" s="5"/>
      <c r="S2172" s="5"/>
      <c r="T2172" s="5"/>
      <c r="U2172" s="5"/>
      <c r="V2172" s="5"/>
      <c r="W2172" s="5"/>
      <c r="X2172" s="5"/>
      <c r="Y2172" s="5"/>
      <c r="Z2172" s="5"/>
    </row>
    <row r="2173" spans="1:26" ht="15.6" x14ac:dyDescent="0.3">
      <c r="A2173" s="18" t="s">
        <v>23</v>
      </c>
      <c r="B2173" s="24" t="s">
        <v>488</v>
      </c>
      <c r="C2173" s="2" t="str">
        <f ca="1">IFERROR(__xludf.DUMMYFUNCTION("GOOGLETRANSLATE(B2173, ""bn"", ""en"")"),"Many in the Hindu community are destroying the religious peace with their hostile attitude towards other religions.")</f>
        <v>Many in the Hindu community are destroying the religious peace with their hostile attitude towards other religions.</v>
      </c>
      <c r="D2173" s="5"/>
      <c r="E2173" s="5"/>
      <c r="F2173" s="5"/>
      <c r="G2173" s="5"/>
      <c r="H2173" s="5"/>
      <c r="I2173" s="5"/>
      <c r="J2173" s="5"/>
      <c r="K2173" s="5"/>
      <c r="L2173" s="5"/>
      <c r="M2173" s="5"/>
      <c r="N2173" s="5"/>
      <c r="O2173" s="5"/>
      <c r="P2173" s="5"/>
      <c r="Q2173" s="5"/>
      <c r="R2173" s="5"/>
      <c r="S2173" s="5"/>
      <c r="T2173" s="5"/>
      <c r="U2173" s="5"/>
      <c r="V2173" s="5"/>
      <c r="W2173" s="5"/>
      <c r="X2173" s="5"/>
      <c r="Y2173" s="5"/>
      <c r="Z2173" s="5"/>
    </row>
    <row r="2174" spans="1:26" ht="15.6" x14ac:dyDescent="0.3">
      <c r="A2174" s="18" t="s">
        <v>23</v>
      </c>
      <c r="B2174" s="25" t="s">
        <v>2169</v>
      </c>
      <c r="C2174" s="2" t="str">
        <f ca="1">IFERROR(__xludf.DUMMYFUNCTION("GOOGLETRANSLATE(B2174, ""bn"", ""en"")"),"If there is any religion full of superstitions, it can undoubtedly be said that it is Sanatani (Hinduism).")</f>
        <v>If there is any religion full of superstitions, it can undoubtedly be said that it is Sanatani (Hinduism).</v>
      </c>
      <c r="D2174" s="2"/>
      <c r="E2174" s="2"/>
      <c r="F2174" s="2"/>
      <c r="G2174" s="2"/>
      <c r="H2174" s="3"/>
      <c r="I2174" s="3"/>
      <c r="J2174" s="3"/>
      <c r="K2174" s="3"/>
      <c r="L2174" s="3"/>
      <c r="M2174" s="3"/>
      <c r="N2174" s="3"/>
      <c r="O2174" s="3"/>
      <c r="P2174" s="3"/>
      <c r="Q2174" s="3"/>
      <c r="R2174" s="3"/>
      <c r="S2174" s="3"/>
      <c r="T2174" s="3"/>
      <c r="U2174" s="3"/>
      <c r="V2174" s="3"/>
      <c r="W2174" s="3"/>
      <c r="X2174" s="3"/>
      <c r="Y2174" s="3"/>
      <c r="Z2174" s="3"/>
    </row>
    <row r="2175" spans="1:26" ht="15.6" x14ac:dyDescent="0.3">
      <c r="A2175" s="18" t="s">
        <v>3</v>
      </c>
      <c r="B2175" s="25" t="s">
        <v>2170</v>
      </c>
      <c r="C2175" s="2" t="str">
        <f ca="1">IFERROR(__xludf.DUMMYFUNCTION("GOOGLETRANSLATE(B2175, ""bn"", ""en"")"),"On this auspicious date Buddha was born, attained Bodhi or Siddhilaba and attained Mahaparinirvana. On this day, Buddhists bathe, wear sanitary clothes and worship the Buddha in the temple.")</f>
        <v>On this auspicious date Buddha was born, attained Bodhi or Siddhilaba and attained Mahaparinirvana. On this day, Buddhists bathe, wear sanitary clothes and worship the Buddha in the temple.</v>
      </c>
      <c r="D2175" s="5"/>
      <c r="E2175" s="5"/>
      <c r="F2175" s="5"/>
      <c r="G2175" s="5"/>
      <c r="H2175" s="5"/>
      <c r="I2175" s="5"/>
      <c r="J2175" s="5"/>
      <c r="K2175" s="5"/>
      <c r="L2175" s="5"/>
      <c r="M2175" s="5"/>
      <c r="N2175" s="5"/>
      <c r="O2175" s="5"/>
      <c r="P2175" s="5"/>
      <c r="Q2175" s="5"/>
      <c r="R2175" s="5"/>
      <c r="S2175" s="5"/>
      <c r="T2175" s="5"/>
      <c r="U2175" s="5"/>
      <c r="V2175" s="5"/>
      <c r="W2175" s="5"/>
      <c r="X2175" s="5"/>
      <c r="Y2175" s="5"/>
      <c r="Z2175" s="5"/>
    </row>
    <row r="2176" spans="1:26" ht="15.6" x14ac:dyDescent="0.3">
      <c r="A2176" s="19" t="s">
        <v>8</v>
      </c>
      <c r="B2176" s="26" t="s">
        <v>2171</v>
      </c>
      <c r="C2176" s="2" t="str">
        <f ca="1">IFERROR(__xludf.DUMMYFUNCTION("GOOGLETRANSLATE(B2176, ""bn"", ""en"")"),"Forced conversions, documented massacres, destruction of temples and religious sites, and destruction of educational institutions are noted.")</f>
        <v>Forced conversions, documented massacres, destruction of temples and religious sites, and destruction of educational institutions are noted.</v>
      </c>
      <c r="D2176" s="7"/>
      <c r="E2176" s="7"/>
      <c r="F2176" s="7"/>
      <c r="G2176" s="7"/>
      <c r="H2176" s="7"/>
      <c r="I2176" s="5"/>
      <c r="J2176" s="5"/>
      <c r="K2176" s="5"/>
      <c r="L2176" s="5"/>
      <c r="M2176" s="5"/>
      <c r="N2176" s="5"/>
      <c r="O2176" s="5"/>
      <c r="P2176" s="5"/>
      <c r="Q2176" s="5"/>
      <c r="R2176" s="5"/>
      <c r="S2176" s="5"/>
      <c r="T2176" s="5"/>
      <c r="U2176" s="5"/>
      <c r="V2176" s="5"/>
      <c r="W2176" s="5"/>
      <c r="X2176" s="5"/>
      <c r="Y2176" s="5"/>
      <c r="Z2176" s="5"/>
    </row>
    <row r="2177" spans="1:26" ht="15.6" x14ac:dyDescent="0.3">
      <c r="A2177" s="18" t="s">
        <v>3</v>
      </c>
      <c r="B2177" s="25" t="s">
        <v>2172</v>
      </c>
      <c r="C2177" s="2" t="str">
        <f ca="1">IFERROR(__xludf.DUMMYFUNCTION("GOOGLETRANSLATE(B2177, ""bn"", ""en"")"),"When Hindu Muslims live together in peace, they establish peace, respect and love in their daily lives, which further strengthens their society's progress and unity.")</f>
        <v>When Hindu Muslims live together in peace, they establish peace, respect and love in their daily lives, which further strengthens their society's progress and unity.</v>
      </c>
      <c r="D2177" s="5"/>
      <c r="E2177" s="5"/>
      <c r="F2177" s="5"/>
      <c r="G2177" s="5"/>
      <c r="H2177" s="5"/>
      <c r="I2177" s="5"/>
      <c r="J2177" s="5"/>
      <c r="K2177" s="5"/>
      <c r="L2177" s="5"/>
      <c r="M2177" s="5"/>
      <c r="N2177" s="5"/>
      <c r="O2177" s="5"/>
      <c r="P2177" s="5"/>
      <c r="Q2177" s="5"/>
      <c r="R2177" s="5"/>
      <c r="S2177" s="5"/>
      <c r="T2177" s="5"/>
      <c r="U2177" s="5"/>
      <c r="V2177" s="5"/>
      <c r="W2177" s="5"/>
      <c r="X2177" s="5"/>
      <c r="Y2177" s="5"/>
      <c r="Z2177" s="5"/>
    </row>
    <row r="2178" spans="1:26" ht="15.6" x14ac:dyDescent="0.3">
      <c r="A2178" s="19" t="s">
        <v>23</v>
      </c>
      <c r="B2178" s="26" t="s">
        <v>2173</v>
      </c>
      <c r="C2178" s="2" t="str">
        <f ca="1">IFERROR(__xludf.DUMMYFUNCTION("GOOGLETRANSLATE(B2178, ""bn"", ""en"")"),"The spread of incitement, harassment and communalism in the name of hurting religious sentiments is part of a sad and deep conspiracy.")</f>
        <v>The spread of incitement, harassment and communalism in the name of hurting religious sentiments is part of a sad and deep conspiracy.</v>
      </c>
      <c r="D2178" s="7"/>
      <c r="E2178" s="7"/>
      <c r="F2178" s="7"/>
      <c r="G2178" s="7"/>
      <c r="H2178" s="5"/>
      <c r="I2178" s="5"/>
      <c r="J2178" s="5"/>
      <c r="K2178" s="5"/>
      <c r="L2178" s="5"/>
      <c r="M2178" s="5"/>
      <c r="N2178" s="5"/>
      <c r="O2178" s="5"/>
      <c r="P2178" s="5"/>
      <c r="Q2178" s="5"/>
      <c r="R2178" s="5"/>
      <c r="S2178" s="5"/>
      <c r="T2178" s="5"/>
      <c r="U2178" s="5"/>
      <c r="V2178" s="5"/>
      <c r="W2178" s="5"/>
      <c r="X2178" s="5"/>
      <c r="Y2178" s="5"/>
      <c r="Z2178" s="5"/>
    </row>
    <row r="2179" spans="1:26" ht="15.6" x14ac:dyDescent="0.3">
      <c r="A2179" s="19" t="s">
        <v>8</v>
      </c>
      <c r="B2179" s="26" t="s">
        <v>2174</v>
      </c>
      <c r="C2179" s="2" t="str">
        <f ca="1">IFERROR(__xludf.DUMMYFUNCTION("GOOGLETRANSLATE(B2179, ""bn"", ""en"")"),"In 2012, Buddhist temples and mosques were attacked in Bangladesh after a young man was accused of blasphemy, although an investigation found no truth in the allegations.")</f>
        <v>In 2012, Buddhist temples and mosques were attacked in Bangladesh after a young man was accused of blasphemy, although an investigation found no truth in the allegations.</v>
      </c>
      <c r="D2179" s="7"/>
      <c r="E2179" s="7"/>
      <c r="F2179" s="7"/>
      <c r="G2179" s="7"/>
      <c r="H2179" s="7"/>
      <c r="I2179" s="7"/>
      <c r="J2179" s="7"/>
      <c r="K2179" s="7"/>
      <c r="L2179" s="7"/>
      <c r="M2179" s="5"/>
      <c r="N2179" s="5"/>
      <c r="O2179" s="5"/>
      <c r="P2179" s="5"/>
      <c r="Q2179" s="5"/>
      <c r="R2179" s="5"/>
      <c r="S2179" s="5"/>
      <c r="T2179" s="5"/>
      <c r="U2179" s="5"/>
      <c r="V2179" s="5"/>
      <c r="W2179" s="5"/>
      <c r="X2179" s="5"/>
      <c r="Y2179" s="5"/>
      <c r="Z2179" s="5"/>
    </row>
    <row r="2180" spans="1:26" ht="15.6" x14ac:dyDescent="0.3">
      <c r="A2180" s="18" t="s">
        <v>8</v>
      </c>
      <c r="B2180" s="24" t="s">
        <v>2175</v>
      </c>
      <c r="C2180" s="2" t="str">
        <f ca="1">IFERROR(__xludf.DUMMYFUNCTION("GOOGLETRANSLATE(B2180, ""bn"", ""en"")"),"On January 21, 2024, miscreants entered a Mansa temple in Jhenaidah's Maheshpur, threw worship articles and broke the idol's throat.")</f>
        <v>On January 21, 2024, miscreants entered a Mansa temple in Jhenaidah's Maheshpur, threw worship articles and broke the idol's throat.</v>
      </c>
      <c r="D2180" s="5"/>
      <c r="E2180" s="5"/>
      <c r="F2180" s="5"/>
      <c r="G2180" s="5"/>
      <c r="H2180" s="5"/>
      <c r="I2180" s="5"/>
      <c r="J2180" s="5"/>
      <c r="K2180" s="5"/>
      <c r="L2180" s="5"/>
      <c r="M2180" s="5"/>
      <c r="N2180" s="5"/>
      <c r="O2180" s="5"/>
      <c r="P2180" s="5"/>
      <c r="Q2180" s="5"/>
      <c r="R2180" s="5"/>
      <c r="S2180" s="5"/>
      <c r="T2180" s="5"/>
      <c r="U2180" s="5"/>
      <c r="V2180" s="5"/>
      <c r="W2180" s="5"/>
      <c r="X2180" s="5"/>
      <c r="Y2180" s="5"/>
      <c r="Z2180" s="5"/>
    </row>
    <row r="2181" spans="1:26" ht="15.6" x14ac:dyDescent="0.3">
      <c r="A2181" s="18" t="s">
        <v>5</v>
      </c>
      <c r="B2181" s="25" t="s">
        <v>2176</v>
      </c>
      <c r="C2181" s="2" t="str">
        <f ca="1">IFERROR(__xludf.DUMMYFUNCTION("GOOGLETRANSLATE(B2181, ""bn"", ""en"")"),"300 people were killed in a brutal attack on the Rakhine religious minority in Chittagong Hill Tracts. Unable to bear the fear and humiliation of killing, many choose suicide.")</f>
        <v>300 people were killed in a brutal attack on the Rakhine religious minority in Chittagong Hill Tracts. Unable to bear the fear and humiliation of killing, many choose suicide.</v>
      </c>
      <c r="D2181" s="5"/>
      <c r="E2181" s="5"/>
      <c r="F2181" s="5"/>
      <c r="G2181" s="5"/>
      <c r="H2181" s="5"/>
      <c r="I2181" s="5"/>
      <c r="J2181" s="5"/>
      <c r="K2181" s="5"/>
      <c r="L2181" s="5"/>
      <c r="M2181" s="5"/>
      <c r="N2181" s="5"/>
      <c r="O2181" s="5"/>
      <c r="P2181" s="5"/>
      <c r="Q2181" s="5"/>
      <c r="R2181" s="5"/>
      <c r="S2181" s="5"/>
      <c r="T2181" s="5"/>
      <c r="U2181" s="5"/>
      <c r="V2181" s="5"/>
      <c r="W2181" s="5"/>
      <c r="X2181" s="5"/>
      <c r="Y2181" s="5"/>
      <c r="Z2181" s="5"/>
    </row>
    <row r="2182" spans="1:26" ht="15.6" x14ac:dyDescent="0.3">
      <c r="A2182" s="18" t="s">
        <v>8</v>
      </c>
      <c r="B2182" s="25" t="s">
        <v>2177</v>
      </c>
      <c r="C2182" s="2" t="str">
        <f ca="1">IFERROR(__xludf.DUMMYFUNCTION("GOOGLETRANSLATE(B2182, ""bn"", ""en"")"),"Rejecting the peaceful ideals of the Prophet (PBUH), their extremism is creating conflict in Bangladesh today in the name of religion, whereas he was the true epitome of tolerance and intelligence.")</f>
        <v>Rejecting the peaceful ideals of the Prophet (PBUH), their extremism is creating conflict in Bangladesh today in the name of religion, whereas he was the true epitome of tolerance and intelligence.</v>
      </c>
      <c r="D2182" s="5"/>
      <c r="E2182" s="5"/>
      <c r="F2182" s="5"/>
      <c r="G2182" s="5"/>
      <c r="H2182" s="5"/>
      <c r="I2182" s="5"/>
      <c r="J2182" s="5"/>
      <c r="K2182" s="5"/>
      <c r="L2182" s="5"/>
      <c r="M2182" s="5"/>
      <c r="N2182" s="5"/>
      <c r="O2182" s="5"/>
      <c r="P2182" s="5"/>
      <c r="Q2182" s="5"/>
      <c r="R2182" s="5"/>
      <c r="S2182" s="5"/>
      <c r="T2182" s="5"/>
      <c r="U2182" s="5"/>
      <c r="V2182" s="5"/>
      <c r="W2182" s="5"/>
      <c r="X2182" s="5"/>
      <c r="Y2182" s="5"/>
      <c r="Z2182" s="5"/>
    </row>
    <row r="2183" spans="1:26" ht="15.6" x14ac:dyDescent="0.3">
      <c r="A2183" s="18" t="s">
        <v>3</v>
      </c>
      <c r="B2183" s="25" t="s">
        <v>2178</v>
      </c>
      <c r="C2183" s="2" t="str">
        <f ca="1">IFERROR(__xludf.DUMMYFUNCTION("GOOGLETRANSLATE(B2183, ""bn"", ""en"")"),"In reply I can only say that I really do not know when the light of Islam first touched me")</f>
        <v>In reply I can only say that I really do not know when the light of Islam first touched me</v>
      </c>
      <c r="D2183" s="5"/>
      <c r="E2183" s="5"/>
      <c r="F2183" s="5"/>
      <c r="G2183" s="5"/>
      <c r="H2183" s="5"/>
      <c r="I2183" s="5"/>
      <c r="J2183" s="5"/>
      <c r="K2183" s="5"/>
      <c r="L2183" s="5"/>
      <c r="M2183" s="5"/>
      <c r="N2183" s="5"/>
      <c r="O2183" s="5"/>
      <c r="P2183" s="5"/>
      <c r="Q2183" s="5"/>
      <c r="R2183" s="5"/>
      <c r="S2183" s="5"/>
      <c r="T2183" s="5"/>
      <c r="U2183" s="5"/>
      <c r="V2183" s="5"/>
      <c r="W2183" s="5"/>
      <c r="X2183" s="5"/>
      <c r="Y2183" s="5"/>
      <c r="Z2183" s="5"/>
    </row>
    <row r="2184" spans="1:26" ht="15.6" x14ac:dyDescent="0.3">
      <c r="A2184" s="18" t="s">
        <v>8</v>
      </c>
      <c r="B2184" s="25" t="s">
        <v>2179</v>
      </c>
      <c r="C2184" s="2" t="str">
        <f ca="1">IFERROR(__xludf.DUMMYFUNCTION("GOOGLETRANSLATE(B2184, ""bn"", ""en"")"),"They gave the police the information about the complaint of a college student of Dalit community in Parvatipur of Dinajpur who hacked Facebook and posted about other religions. But with that incident, the student's house was vandalized and the police arre"&amp;"sted her.")</f>
        <v>They gave the police the information about the complaint of a college student of Dalit community in Parvatipur of Dinajpur who hacked Facebook and posted about other religions. But with that incident, the student's house was vandalized and the police arrested her.</v>
      </c>
      <c r="D2184" s="6"/>
      <c r="E2184" s="6"/>
      <c r="F2184" s="6"/>
      <c r="G2184" s="6"/>
      <c r="H2184" s="5"/>
      <c r="I2184" s="5"/>
      <c r="J2184" s="5"/>
      <c r="K2184" s="5"/>
      <c r="L2184" s="5"/>
      <c r="M2184" s="5"/>
      <c r="N2184" s="5"/>
      <c r="O2184" s="5"/>
      <c r="P2184" s="5"/>
      <c r="Q2184" s="5"/>
      <c r="R2184" s="5"/>
      <c r="S2184" s="5"/>
      <c r="T2184" s="5"/>
      <c r="U2184" s="5"/>
      <c r="V2184" s="5"/>
      <c r="W2184" s="5"/>
      <c r="X2184" s="5"/>
      <c r="Y2184" s="5"/>
      <c r="Z2184" s="5"/>
    </row>
    <row r="2185" spans="1:26" ht="15.6" x14ac:dyDescent="0.3">
      <c r="A2185" s="18" t="s">
        <v>5</v>
      </c>
      <c r="B2185" s="24" t="s">
        <v>2180</v>
      </c>
      <c r="C2185" s="2" t="str">
        <f ca="1">IFERROR(__xludf.DUMMYFUNCTION("GOOGLETRANSLATE(B2185, ""bn"", ""en"")"),"Drinking water supply to a village was cut off due to religious reasons, 25 people died due to lack of drinking water.")</f>
        <v>Drinking water supply to a village was cut off due to religious reasons, 25 people died due to lack of drinking water.</v>
      </c>
      <c r="D2185" s="5"/>
      <c r="E2185" s="5"/>
      <c r="F2185" s="5"/>
      <c r="G2185" s="5"/>
      <c r="H2185" s="5"/>
      <c r="I2185" s="5"/>
      <c r="J2185" s="5"/>
      <c r="K2185" s="5"/>
      <c r="L2185" s="5"/>
      <c r="M2185" s="5"/>
      <c r="N2185" s="5"/>
      <c r="O2185" s="5"/>
      <c r="P2185" s="5"/>
      <c r="Q2185" s="5"/>
      <c r="R2185" s="5"/>
      <c r="S2185" s="5"/>
      <c r="T2185" s="5"/>
      <c r="U2185" s="5"/>
      <c r="V2185" s="5"/>
      <c r="W2185" s="5"/>
      <c r="X2185" s="5"/>
      <c r="Y2185" s="5"/>
      <c r="Z2185" s="5"/>
    </row>
    <row r="2186" spans="1:26" ht="15.6" x14ac:dyDescent="0.3">
      <c r="A2186" s="18" t="s">
        <v>8</v>
      </c>
      <c r="B2186" s="25" t="s">
        <v>2181</v>
      </c>
      <c r="C2186" s="2" t="str">
        <f ca="1">IFERROR(__xludf.DUMMYFUNCTION("GOOGLETRANSLATE(B2186, ""bn"", ""en"")"),"15 temples including Dattabari Temple in Jagannath Para, Kali Mandir in Sutradhar Para, Sri Anandamoyi Kali Temple and more than two hundred houses were attacked, vandalized and looted.")</f>
        <v>15 temples including Dattabari Temple in Jagannath Para, Kali Mandir in Sutradhar Para, Sri Anandamoyi Kali Temple and more than two hundred houses were attacked, vandalized and looted.</v>
      </c>
      <c r="D2186" s="2"/>
      <c r="E2186" s="2"/>
      <c r="F2186" s="2"/>
      <c r="G2186" s="2"/>
      <c r="H2186" s="5"/>
      <c r="I2186" s="5"/>
      <c r="J2186" s="5"/>
      <c r="K2186" s="5"/>
      <c r="L2186" s="5"/>
      <c r="M2186" s="5"/>
      <c r="N2186" s="5"/>
      <c r="O2186" s="5"/>
      <c r="P2186" s="5"/>
      <c r="Q2186" s="5"/>
      <c r="R2186" s="5"/>
      <c r="S2186" s="5"/>
      <c r="T2186" s="5"/>
      <c r="U2186" s="5"/>
      <c r="V2186" s="5"/>
      <c r="W2186" s="5"/>
      <c r="X2186" s="5"/>
      <c r="Y2186" s="5"/>
      <c r="Z2186" s="5"/>
    </row>
    <row r="2187" spans="1:26" ht="15.6" x14ac:dyDescent="0.3">
      <c r="A2187" s="18" t="s">
        <v>3</v>
      </c>
      <c r="B2187" s="25" t="s">
        <v>2182</v>
      </c>
      <c r="C2187" s="2" t="str">
        <f ca="1">IFERROR(__xludf.DUMMYFUNCTION("GOOGLETRANSLATE(B2187, ""bn"", ""en"")"),"There is no difference between religions, I love all religions with respect.")</f>
        <v>There is no difference between religions, I love all religions with respect.</v>
      </c>
      <c r="D2187" s="2"/>
      <c r="E2187" s="2"/>
      <c r="F2187" s="2"/>
      <c r="G2187" s="2"/>
      <c r="H2187" s="5"/>
      <c r="I2187" s="5"/>
      <c r="J2187" s="5"/>
      <c r="K2187" s="5"/>
      <c r="L2187" s="5"/>
      <c r="M2187" s="5"/>
      <c r="N2187" s="5"/>
      <c r="O2187" s="5"/>
      <c r="P2187" s="5"/>
      <c r="Q2187" s="5"/>
      <c r="R2187" s="5"/>
      <c r="S2187" s="5"/>
      <c r="T2187" s="5"/>
      <c r="U2187" s="5"/>
      <c r="V2187" s="5"/>
      <c r="W2187" s="5"/>
      <c r="X2187" s="5"/>
      <c r="Y2187" s="5"/>
      <c r="Z2187" s="5"/>
    </row>
    <row r="2188" spans="1:26" ht="15.6" x14ac:dyDescent="0.3">
      <c r="A2188" s="18" t="s">
        <v>23</v>
      </c>
      <c r="B2188" s="25" t="s">
        <v>2183</v>
      </c>
      <c r="C2188" s="2" t="str">
        <f ca="1">IFERROR(__xludf.DUMMYFUNCTION("GOOGLETRANSLATE(B2188, ""bn"", ""en"")"),"An Islamist group called Islami Andolan Bangladesh planned to besiege the French embassy in Dhaka on Tuesday after a protest rally at the Dhaka University campus under the banner of ordinary students on Sunday.")</f>
        <v>An Islamist group called Islami Andolan Bangladesh planned to besiege the French embassy in Dhaka on Tuesday after a protest rally at the Dhaka University campus under the banner of ordinary students on Sunday.</v>
      </c>
      <c r="D2188" s="5"/>
      <c r="E2188" s="5"/>
      <c r="F2188" s="5"/>
      <c r="G2188" s="5"/>
      <c r="H2188" s="5"/>
      <c r="I2188" s="5"/>
      <c r="J2188" s="5"/>
      <c r="K2188" s="5"/>
      <c r="L2188" s="5"/>
      <c r="M2188" s="5"/>
      <c r="N2188" s="5"/>
      <c r="O2188" s="5"/>
      <c r="P2188" s="5"/>
      <c r="Q2188" s="5"/>
      <c r="R2188" s="5"/>
      <c r="S2188" s="5"/>
      <c r="T2188" s="5"/>
      <c r="U2188" s="5"/>
      <c r="V2188" s="5"/>
      <c r="W2188" s="5"/>
      <c r="X2188" s="5"/>
      <c r="Y2188" s="5"/>
      <c r="Z2188" s="5"/>
    </row>
    <row r="2189" spans="1:26" ht="15.6" x14ac:dyDescent="0.3">
      <c r="A2189" s="18" t="s">
        <v>8</v>
      </c>
      <c r="B2189" s="25" t="s">
        <v>2184</v>
      </c>
      <c r="C2189" s="2" t="str">
        <f ca="1">IFERROR(__xludf.DUMMYFUNCTION("GOOGLETRANSLATE(B2189, ""bn"", ""en"")"),"Attacks on various temples and vandalism of idols in the country have been planned to spread religious tension and thwart peaceful programs and false cases against their leaders and activists.")</f>
        <v>Attacks on various temples and vandalism of idols in the country have been planned to spread religious tension and thwart peaceful programs and false cases against their leaders and activists.</v>
      </c>
      <c r="D2189" s="5"/>
      <c r="E2189" s="5"/>
      <c r="F2189" s="5"/>
      <c r="G2189" s="5"/>
      <c r="H2189" s="5"/>
      <c r="I2189" s="5"/>
      <c r="J2189" s="5"/>
      <c r="K2189" s="5"/>
      <c r="L2189" s="5"/>
      <c r="M2189" s="5"/>
      <c r="N2189" s="5"/>
      <c r="O2189" s="5"/>
      <c r="P2189" s="5"/>
      <c r="Q2189" s="5"/>
      <c r="R2189" s="5"/>
      <c r="S2189" s="5"/>
      <c r="T2189" s="5"/>
      <c r="U2189" s="5"/>
      <c r="V2189" s="5"/>
      <c r="W2189" s="5"/>
      <c r="X2189" s="5"/>
      <c r="Y2189" s="5"/>
      <c r="Z2189" s="5"/>
    </row>
    <row r="2190" spans="1:26" ht="15.6" x14ac:dyDescent="0.3">
      <c r="A2190" s="19" t="s">
        <v>5</v>
      </c>
      <c r="B2190" s="26" t="s">
        <v>2185</v>
      </c>
      <c r="C2190" s="2" t="str">
        <f ca="1">IFERROR(__xludf.DUMMYFUNCTION("GOOGLETRANSLATE(B2190, ""bn"", ""en"")"),"In one region of Bangladesh in 1989, a religious dispute led to the death of nearly a thousand people in violent attacks and a rally by religious leaders and activists warning the minority community.")</f>
        <v>In one region of Bangladesh in 1989, a religious dispute led to the death of nearly a thousand people in violent attacks and a rally by religious leaders and activists warning the minority community.</v>
      </c>
      <c r="D2190" s="7"/>
      <c r="E2190" s="7"/>
      <c r="F2190" s="7"/>
      <c r="G2190" s="7"/>
      <c r="H2190" s="7"/>
      <c r="I2190" s="7"/>
      <c r="J2190" s="7"/>
      <c r="K2190" s="7"/>
      <c r="L2190" s="7"/>
      <c r="M2190" s="7"/>
      <c r="N2190" s="7"/>
      <c r="O2190" s="7"/>
      <c r="P2190" s="7"/>
      <c r="Q2190" s="7"/>
      <c r="R2190" s="5"/>
      <c r="S2190" s="5"/>
      <c r="T2190" s="5"/>
      <c r="U2190" s="5"/>
      <c r="V2190" s="5"/>
      <c r="W2190" s="5"/>
      <c r="X2190" s="5"/>
      <c r="Y2190" s="5"/>
      <c r="Z2190" s="5"/>
    </row>
    <row r="2191" spans="1:26" ht="15.6" x14ac:dyDescent="0.3">
      <c r="A2191" s="19" t="s">
        <v>3</v>
      </c>
      <c r="B2191" s="26" t="s">
        <v>2186</v>
      </c>
      <c r="C2191" s="2" t="str">
        <f ca="1">IFERROR(__xludf.DUMMYFUNCTION("GOOGLETRANSLATE(B2191, ""bn"", ""en"")"),"A curfew was imposed on Monday as the situation worsened and curfew was again enforced after the body of a 24-year-old Muslim youth was found.")</f>
        <v>A curfew was imposed on Monday as the situation worsened and curfew was again enforced after the body of a 24-year-old Muslim youth was found.</v>
      </c>
      <c r="D2191" s="7"/>
      <c r="E2191" s="7"/>
      <c r="F2191" s="7"/>
      <c r="G2191" s="7"/>
      <c r="H2191" s="7"/>
      <c r="I2191" s="7"/>
      <c r="J2191" s="7"/>
      <c r="K2191" s="7"/>
      <c r="L2191" s="5"/>
      <c r="M2191" s="5"/>
      <c r="N2191" s="5"/>
      <c r="O2191" s="5"/>
      <c r="P2191" s="5"/>
      <c r="Q2191" s="5"/>
      <c r="R2191" s="5"/>
      <c r="S2191" s="5"/>
      <c r="T2191" s="5"/>
      <c r="U2191" s="5"/>
      <c r="V2191" s="5"/>
      <c r="W2191" s="5"/>
      <c r="X2191" s="5"/>
      <c r="Y2191" s="5"/>
      <c r="Z2191" s="5"/>
    </row>
    <row r="2192" spans="1:26" ht="15.6" x14ac:dyDescent="0.3">
      <c r="A2192" s="18" t="s">
        <v>23</v>
      </c>
      <c r="B2192" s="25" t="s">
        <v>2187</v>
      </c>
      <c r="C2192" s="2" t="str">
        <f ca="1">IFERROR(__xludf.DUMMYFUNCTION("GOOGLETRANSLATE(B2192, ""bn"", ""en"")"),"Calling Chanchal as a Hindu, Sohag Bhai as a Muslim, calling him a warrior, is a religious miscreant.")</f>
        <v>Calling Chanchal as a Hindu, Sohag Bhai as a Muslim, calling him a warrior, is a religious miscreant.</v>
      </c>
      <c r="D2192" s="5"/>
      <c r="E2192" s="5"/>
      <c r="F2192" s="5"/>
      <c r="G2192" s="5"/>
      <c r="H2192" s="5"/>
      <c r="I2192" s="5"/>
      <c r="J2192" s="5"/>
      <c r="K2192" s="5"/>
      <c r="L2192" s="5"/>
      <c r="M2192" s="5"/>
      <c r="N2192" s="5"/>
      <c r="O2192" s="5"/>
      <c r="P2192" s="5"/>
      <c r="Q2192" s="5"/>
      <c r="R2192" s="5"/>
      <c r="S2192" s="5"/>
      <c r="T2192" s="5"/>
      <c r="U2192" s="5"/>
      <c r="V2192" s="5"/>
      <c r="W2192" s="5"/>
      <c r="X2192" s="5"/>
      <c r="Y2192" s="5"/>
      <c r="Z2192" s="5"/>
    </row>
    <row r="2193" spans="1:26" ht="15.6" x14ac:dyDescent="0.3">
      <c r="A2193" s="18" t="s">
        <v>5</v>
      </c>
      <c r="B2193" s="24" t="s">
        <v>2188</v>
      </c>
      <c r="C2193" s="2" t="str">
        <f ca="1">IFERROR(__xludf.DUMMYFUNCTION("GOOGLETRANSLATE(B2193, ""bn"", ""en"")"),"Violence broke out between the Hindu and Muslim communities in Rajbari. 35 people were killed in the clashes and many houses and businesses were burnt down.")</f>
        <v>Violence broke out between the Hindu and Muslim communities in Rajbari. 35 people were killed in the clashes and many houses and businesses were burnt down.</v>
      </c>
      <c r="D2193" s="5"/>
      <c r="E2193" s="5"/>
      <c r="F2193" s="5"/>
      <c r="G2193" s="5"/>
      <c r="H2193" s="5"/>
      <c r="I2193" s="5"/>
      <c r="J2193" s="5"/>
      <c r="K2193" s="5"/>
      <c r="L2193" s="5"/>
      <c r="M2193" s="5"/>
      <c r="N2193" s="5"/>
      <c r="O2193" s="5"/>
      <c r="P2193" s="5"/>
      <c r="Q2193" s="5"/>
      <c r="R2193" s="5"/>
      <c r="S2193" s="5"/>
      <c r="T2193" s="5"/>
      <c r="U2193" s="5"/>
      <c r="V2193" s="5"/>
      <c r="W2193" s="5"/>
      <c r="X2193" s="5"/>
      <c r="Y2193" s="5"/>
      <c r="Z2193" s="5"/>
    </row>
    <row r="2194" spans="1:26" ht="15.6" x14ac:dyDescent="0.3">
      <c r="A2194" s="18" t="s">
        <v>5</v>
      </c>
      <c r="B2194" s="24" t="s">
        <v>2189</v>
      </c>
      <c r="C2194" s="2" t="str">
        <f ca="1">IFERROR(__xludf.DUMMYFUNCTION("GOOGLETRANSLATE(B2194, ""bn"", ""en"")"),"Thirteen people were killed when a Christian community's shop and house were set ablaze.")</f>
        <v>Thirteen people were killed when a Christian community's shop and house were set ablaze.</v>
      </c>
      <c r="D2194" s="5"/>
      <c r="E2194" s="5"/>
      <c r="F2194" s="5"/>
      <c r="G2194" s="5"/>
      <c r="H2194" s="5"/>
      <c r="I2194" s="5"/>
      <c r="J2194" s="5"/>
      <c r="K2194" s="5"/>
      <c r="L2194" s="5"/>
      <c r="M2194" s="5"/>
      <c r="N2194" s="5"/>
      <c r="O2194" s="5"/>
      <c r="P2194" s="5"/>
      <c r="Q2194" s="5"/>
      <c r="R2194" s="5"/>
      <c r="S2194" s="5"/>
      <c r="T2194" s="5"/>
      <c r="U2194" s="5"/>
      <c r="V2194" s="5"/>
      <c r="W2194" s="5"/>
      <c r="X2194" s="5"/>
      <c r="Y2194" s="5"/>
      <c r="Z2194" s="5"/>
    </row>
    <row r="2195" spans="1:26" ht="15.6" x14ac:dyDescent="0.3">
      <c r="A2195" s="19" t="s">
        <v>5</v>
      </c>
      <c r="B2195" s="26" t="s">
        <v>2190</v>
      </c>
      <c r="C2195" s="2" t="str">
        <f ca="1">IFERROR(__xludf.DUMMYFUNCTION("GOOGLETRANSLATE(B2195, ""bn"", ""en"")"),"Many Hindus have become refugees in Bangladesh. Passengers were shot dead in some buses and trains. A massacre in 1998 killed 24 people. Temple attacks are also examples of religious persecution.")</f>
        <v>Many Hindus have become refugees in Bangladesh. Passengers were shot dead in some buses and trains. A massacre in 1998 killed 24 people. Temple attacks are also examples of religious persecution.</v>
      </c>
      <c r="D2195" s="7"/>
      <c r="E2195" s="7"/>
      <c r="F2195" s="7"/>
      <c r="G2195" s="7"/>
      <c r="H2195" s="7"/>
      <c r="I2195" s="7"/>
      <c r="J2195" s="7"/>
      <c r="K2195" s="7"/>
      <c r="L2195" s="7"/>
      <c r="M2195" s="7"/>
      <c r="N2195" s="7"/>
      <c r="O2195" s="5"/>
      <c r="P2195" s="5"/>
      <c r="Q2195" s="5"/>
      <c r="R2195" s="5"/>
      <c r="S2195" s="5"/>
      <c r="T2195" s="5"/>
      <c r="U2195" s="5"/>
      <c r="V2195" s="5"/>
      <c r="W2195" s="5"/>
      <c r="X2195" s="5"/>
      <c r="Y2195" s="5"/>
      <c r="Z2195" s="5"/>
    </row>
    <row r="2196" spans="1:26" ht="15.6" x14ac:dyDescent="0.3">
      <c r="A2196" s="18" t="s">
        <v>23</v>
      </c>
      <c r="B2196" s="24" t="s">
        <v>2191</v>
      </c>
      <c r="C2196" s="2" t="str">
        <f ca="1">IFERROR(__xludf.DUMMYFUNCTION("GOOGLETRANSLATE(B2196, ""bn"", ""en"")"),"Followers of any religion other than Islam should not have the right to stay in this country.")</f>
        <v>Followers of any religion other than Islam should not have the right to stay in this country.</v>
      </c>
      <c r="D2196" s="5"/>
      <c r="E2196" s="5"/>
      <c r="F2196" s="5"/>
      <c r="G2196" s="5"/>
      <c r="H2196" s="5"/>
      <c r="I2196" s="5"/>
      <c r="J2196" s="5"/>
      <c r="K2196" s="5"/>
      <c r="L2196" s="5"/>
      <c r="M2196" s="5"/>
      <c r="N2196" s="5"/>
      <c r="O2196" s="5"/>
      <c r="P2196" s="5"/>
      <c r="Q2196" s="5"/>
      <c r="R2196" s="5"/>
      <c r="S2196" s="5"/>
      <c r="T2196" s="5"/>
      <c r="U2196" s="5"/>
      <c r="V2196" s="5"/>
      <c r="W2196" s="5"/>
      <c r="X2196" s="5"/>
      <c r="Y2196" s="5"/>
      <c r="Z2196" s="5"/>
    </row>
    <row r="2197" spans="1:26" ht="15.6" x14ac:dyDescent="0.3">
      <c r="A2197" s="18" t="s">
        <v>5</v>
      </c>
      <c r="B2197" s="25" t="s">
        <v>2192</v>
      </c>
      <c r="C2197" s="2" t="str">
        <f ca="1">IFERROR(__xludf.DUMMYFUNCTION("GOOGLETRANSLATE(B2197, ""bn"", ""en"")"),"A Muslim teenager was beaten to death while returning from a fasting mosque, believed to be motivated by Islamophobia.")</f>
        <v>A Muslim teenager was beaten to death while returning from a fasting mosque, believed to be motivated by Islamophobia.</v>
      </c>
      <c r="D2197" s="2"/>
      <c r="E2197" s="2"/>
      <c r="F2197" s="2"/>
      <c r="G2197" s="2"/>
      <c r="H2197" s="3"/>
      <c r="I2197" s="3"/>
      <c r="J2197" s="3"/>
      <c r="K2197" s="3"/>
      <c r="L2197" s="3"/>
      <c r="M2197" s="3"/>
      <c r="N2197" s="3"/>
      <c r="O2197" s="3"/>
      <c r="P2197" s="3"/>
      <c r="Q2197" s="3"/>
      <c r="R2197" s="3"/>
      <c r="S2197" s="3"/>
      <c r="T2197" s="3"/>
      <c r="U2197" s="3"/>
      <c r="V2197" s="3"/>
      <c r="W2197" s="3"/>
      <c r="X2197" s="3"/>
      <c r="Y2197" s="3"/>
      <c r="Z2197" s="3"/>
    </row>
    <row r="2198" spans="1:26" ht="15.6" x14ac:dyDescent="0.3">
      <c r="A2198" s="18" t="s">
        <v>5</v>
      </c>
      <c r="B2198" s="25" t="s">
        <v>2193</v>
      </c>
      <c r="C2198" s="2" t="str">
        <f ca="1">IFERROR(__xludf.DUMMYFUNCTION("GOOGLETRANSLATE(B2198, ""bn"", ""en"")"),"In Bangladesh, in 2015, a Christian priest was stabbed to death in Dinajpur, an example of sectarian violence.")</f>
        <v>In Bangladesh, in 2015, a Christian priest was stabbed to death in Dinajpur, an example of sectarian violence.</v>
      </c>
      <c r="D2198" s="2"/>
      <c r="E2198" s="2"/>
      <c r="F2198" s="2"/>
      <c r="G2198" s="2"/>
      <c r="H2198" s="5"/>
      <c r="I2198" s="5"/>
      <c r="J2198" s="5"/>
      <c r="K2198" s="5"/>
      <c r="L2198" s="5"/>
      <c r="M2198" s="5"/>
      <c r="N2198" s="5"/>
      <c r="O2198" s="5"/>
      <c r="P2198" s="5"/>
      <c r="Q2198" s="5"/>
      <c r="R2198" s="5"/>
      <c r="S2198" s="5"/>
      <c r="T2198" s="5"/>
      <c r="U2198" s="5"/>
      <c r="V2198" s="5"/>
      <c r="W2198" s="5"/>
      <c r="X2198" s="5"/>
      <c r="Y2198" s="5"/>
      <c r="Z2198" s="5"/>
    </row>
    <row r="2199" spans="1:26" ht="15.6" x14ac:dyDescent="0.3">
      <c r="A2199" s="18" t="s">
        <v>23</v>
      </c>
      <c r="B2199" s="25" t="s">
        <v>2194</v>
      </c>
      <c r="C2199" s="2" t="str">
        <f ca="1">IFERROR(__xludf.DUMMYFUNCTION("GOOGLETRANSLATE(B2199, ""bn"", ""en"")"),"In the present era, some people who are fond of caste reform are indulging in the mischievous attempt to make themselves saints by putting the deeds of their forefathers on the shoulders of Muslims.")</f>
        <v>In the present era, some people who are fond of caste reform are indulging in the mischievous attempt to make themselves saints by putting the deeds of their forefathers on the shoulders of Muslims.</v>
      </c>
      <c r="D2199" s="2"/>
      <c r="E2199" s="2"/>
      <c r="F2199" s="2"/>
      <c r="G2199" s="2"/>
      <c r="H2199" s="3"/>
      <c r="I2199" s="3"/>
      <c r="J2199" s="3"/>
      <c r="K2199" s="3"/>
      <c r="L2199" s="3"/>
      <c r="M2199" s="3"/>
      <c r="N2199" s="3"/>
      <c r="O2199" s="3"/>
      <c r="P2199" s="3"/>
      <c r="Q2199" s="3"/>
      <c r="R2199" s="3"/>
      <c r="S2199" s="3"/>
      <c r="T2199" s="3"/>
      <c r="U2199" s="3"/>
      <c r="V2199" s="3"/>
      <c r="W2199" s="3"/>
      <c r="X2199" s="3"/>
      <c r="Y2199" s="3"/>
      <c r="Z2199" s="3"/>
    </row>
    <row r="2200" spans="1:26" ht="15.6" x14ac:dyDescent="0.3">
      <c r="A2200" s="18" t="s">
        <v>5</v>
      </c>
      <c r="B2200" s="25" t="s">
        <v>2195</v>
      </c>
      <c r="C2200" s="2" t="str">
        <f ca="1">IFERROR(__xludf.DUMMYFUNCTION("GOOGLETRANSLATE(B2200, ""bn"", ""en"")"),"Noakhali Muslim workers in Hazaribagh and Bihari Muslims in Muhammadpur attacked Hindu potters in Rayerbazar, burning houses and brutally killing at least 96 Hindus.")</f>
        <v>Noakhali Muslim workers in Hazaribagh and Bihari Muslims in Muhammadpur attacked Hindu potters in Rayerbazar, burning houses and brutally killing at least 96 Hindus.</v>
      </c>
      <c r="D2200" s="2"/>
      <c r="E2200" s="2"/>
      <c r="F2200" s="2"/>
      <c r="G2200" s="2"/>
      <c r="H2200" s="3"/>
      <c r="I2200" s="3"/>
      <c r="J2200" s="3"/>
      <c r="K2200" s="3"/>
      <c r="L2200" s="3"/>
      <c r="M2200" s="3"/>
      <c r="N2200" s="3"/>
      <c r="O2200" s="3"/>
      <c r="P2200" s="3"/>
      <c r="Q2200" s="3"/>
      <c r="R2200" s="3"/>
      <c r="S2200" s="3"/>
      <c r="T2200" s="3"/>
      <c r="U2200" s="3"/>
      <c r="V2200" s="3"/>
      <c r="W2200" s="3"/>
      <c r="X2200" s="3"/>
      <c r="Y2200" s="3"/>
      <c r="Z2200" s="3"/>
    </row>
    <row r="2201" spans="1:26" ht="15.6" x14ac:dyDescent="0.3">
      <c r="A2201" s="19" t="s">
        <v>23</v>
      </c>
      <c r="B2201" s="26" t="s">
        <v>2196</v>
      </c>
      <c r="C2201" s="2" t="str">
        <f ca="1">IFERROR(__xludf.DUMMYFUNCTION("GOOGLETRANSLATE(B2201, ""bn"", ""en"")"),"Thousands of Muslim workers of Khulna Shipyard, Dada Company, Ispahani Company, Kata Company, Solman Company, etc., committed this heinous, inhuman act of violence against Hindus. Loppur union chairman called them. It encouraged this brutal killing of Hin"&amp;"dus by supplying them with weapons.")</f>
        <v>Thousands of Muslim workers of Khulna Shipyard, Dada Company, Ispahani Company, Kata Company, Solman Company, etc., committed this heinous, inhuman act of violence against Hindus. Loppur union chairman called them. It encouraged this brutal killing of Hindus by supplying them with weapons.</v>
      </c>
      <c r="D2201" s="7"/>
      <c r="E2201" s="7"/>
      <c r="F2201" s="7"/>
      <c r="G2201" s="7"/>
      <c r="H2201" s="7"/>
      <c r="I2201" s="7"/>
      <c r="J2201" s="7"/>
      <c r="K2201" s="5"/>
      <c r="L2201" s="5"/>
      <c r="M2201" s="5"/>
      <c r="N2201" s="5"/>
      <c r="O2201" s="5"/>
      <c r="P2201" s="5"/>
      <c r="Q2201" s="5"/>
      <c r="R2201" s="5"/>
      <c r="S2201" s="5"/>
      <c r="T2201" s="5"/>
      <c r="U2201" s="5"/>
      <c r="V2201" s="5"/>
      <c r="W2201" s="5"/>
      <c r="X2201" s="5"/>
      <c r="Y2201" s="5"/>
      <c r="Z2201" s="5"/>
    </row>
    <row r="2202" spans="1:26" ht="15.6" x14ac:dyDescent="0.3">
      <c r="A2202" s="18" t="s">
        <v>23</v>
      </c>
      <c r="B2202" s="25" t="s">
        <v>2197</v>
      </c>
      <c r="C2202" s="2" t="str">
        <f ca="1">IFERROR(__xludf.DUMMYFUNCTION("GOOGLETRANSLATE(B2202, ""bn"", ""en"")"),"Brahminical Hindus consider Muslims as archenemies, because Islam broke their thousands of years of racist exploitation. This is why they spread Muslim hatred even today.")</f>
        <v>Brahminical Hindus consider Muslims as archenemies, because Islam broke their thousands of years of racist exploitation. This is why they spread Muslim hatred even today.</v>
      </c>
      <c r="D2202" s="5"/>
      <c r="E2202" s="5"/>
      <c r="F2202" s="5"/>
      <c r="G2202" s="5"/>
      <c r="H2202" s="5"/>
      <c r="I2202" s="5"/>
      <c r="J2202" s="5"/>
      <c r="K2202" s="5"/>
      <c r="L2202" s="5"/>
      <c r="M2202" s="5"/>
      <c r="N2202" s="5"/>
      <c r="O2202" s="5"/>
      <c r="P2202" s="5"/>
      <c r="Q2202" s="5"/>
      <c r="R2202" s="5"/>
      <c r="S2202" s="5"/>
      <c r="T2202" s="5"/>
      <c r="U2202" s="5"/>
      <c r="V2202" s="5"/>
      <c r="W2202" s="5"/>
      <c r="X2202" s="5"/>
      <c r="Y2202" s="5"/>
      <c r="Z2202" s="5"/>
    </row>
    <row r="2203" spans="1:26" ht="15.6" x14ac:dyDescent="0.3">
      <c r="A2203" s="18" t="s">
        <v>3</v>
      </c>
      <c r="B2203" s="25" t="s">
        <v>2198</v>
      </c>
      <c r="C2203" s="2" t="str">
        <f ca="1">IFERROR(__xludf.DUMMYFUNCTION("GOOGLETRANSLATE(B2203, ""bn"", ""en"")"),"Relates to the fundamental beliefs and practices of Islam and the connection between religion and society in the Islamic world. The history of various nations that accepted Islam is in the Islamic world essay.")</f>
        <v>Relates to the fundamental beliefs and practices of Islam and the connection between religion and society in the Islamic world. The history of various nations that accepted Islam is in the Islamic world essay.</v>
      </c>
      <c r="D2203" s="2"/>
      <c r="E2203" s="2"/>
      <c r="F2203" s="2"/>
      <c r="G2203" s="2"/>
      <c r="H2203" s="3"/>
      <c r="I2203" s="3"/>
      <c r="J2203" s="3"/>
      <c r="K2203" s="3"/>
      <c r="L2203" s="3"/>
      <c r="M2203" s="3"/>
      <c r="N2203" s="3"/>
      <c r="O2203" s="3"/>
      <c r="P2203" s="3"/>
      <c r="Q2203" s="3"/>
      <c r="R2203" s="3"/>
      <c r="S2203" s="3"/>
      <c r="T2203" s="3"/>
      <c r="U2203" s="3"/>
      <c r="V2203" s="3"/>
      <c r="W2203" s="3"/>
      <c r="X2203" s="3"/>
      <c r="Y2203" s="3"/>
      <c r="Z2203" s="3"/>
    </row>
    <row r="2204" spans="1:26" ht="15.6" x14ac:dyDescent="0.3">
      <c r="A2204" s="18" t="s">
        <v>23</v>
      </c>
      <c r="B2204" s="25" t="s">
        <v>2199</v>
      </c>
      <c r="C2204" s="2" t="str">
        <f ca="1">IFERROR(__xludf.DUMMYFUNCTION("GOOGLETRANSLATE(B2204, ""bn"", ""en"")"),"If any of you sees wrongdoing, let him prevent it with his own hands. (to resist with one's own hand) if it is not possible to protest with the face. If that is not possible, at least hate it from the heart. It is the lowest level of faith")</f>
        <v>If any of you sees wrongdoing, let him prevent it with his own hands. (to resist with one's own hand) if it is not possible to protest with the face. If that is not possible, at least hate it from the heart. It is the lowest level of faith</v>
      </c>
      <c r="D2204" s="5"/>
      <c r="E2204" s="5"/>
      <c r="F2204" s="5"/>
      <c r="G2204" s="5"/>
      <c r="H2204" s="5"/>
      <c r="I2204" s="5"/>
      <c r="J2204" s="5"/>
      <c r="K2204" s="5"/>
      <c r="L2204" s="5"/>
      <c r="M2204" s="5"/>
      <c r="N2204" s="5"/>
      <c r="O2204" s="5"/>
      <c r="P2204" s="5"/>
      <c r="Q2204" s="5"/>
      <c r="R2204" s="5"/>
      <c r="S2204" s="5"/>
      <c r="T2204" s="5"/>
      <c r="U2204" s="5"/>
      <c r="V2204" s="5"/>
      <c r="W2204" s="5"/>
      <c r="X2204" s="5"/>
      <c r="Y2204" s="5"/>
      <c r="Z2204" s="5"/>
    </row>
    <row r="2205" spans="1:26" ht="15.6" x14ac:dyDescent="0.3">
      <c r="A2205" s="18" t="s">
        <v>23</v>
      </c>
      <c r="B2205" s="25" t="s">
        <v>2200</v>
      </c>
      <c r="C2205" s="2" t="str">
        <f ca="1">IFERROR(__xludf.DUMMYFUNCTION("GOOGLETRANSLATE(B2205, ""bn"", ""en"")"),"Bar says something and sits with the atheist tag. I wouldn't have understood that people can be so bigoted if I hadn't seen some of the fanatics in this group.")</f>
        <v>Bar says something and sits with the atheist tag. I wouldn't have understood that people can be so bigoted if I hadn't seen some of the fanatics in this group.</v>
      </c>
      <c r="D2205" s="7"/>
      <c r="E2205" s="7"/>
      <c r="F2205" s="7"/>
      <c r="G2205" s="7"/>
      <c r="H2205" s="7"/>
      <c r="I2205" s="7"/>
      <c r="J2205" s="7"/>
      <c r="K2205" s="7"/>
      <c r="L2205" s="7"/>
      <c r="M2205" s="7"/>
      <c r="N2205" s="7"/>
      <c r="O2205" s="7"/>
      <c r="P2205" s="7"/>
      <c r="Q2205" s="7"/>
      <c r="R2205" s="7"/>
      <c r="S2205" s="7"/>
      <c r="T2205" s="7"/>
      <c r="U2205" s="7"/>
      <c r="V2205" s="7"/>
      <c r="W2205" s="7"/>
      <c r="X2205" s="7"/>
      <c r="Y2205" s="7"/>
      <c r="Z2205" s="7"/>
    </row>
    <row r="2206" spans="1:26" ht="15.6" x14ac:dyDescent="0.3">
      <c r="A2206" s="18" t="s">
        <v>5</v>
      </c>
      <c r="B2206" s="25" t="s">
        <v>2201</v>
      </c>
      <c r="C2206" s="2" t="str">
        <f ca="1">IFERROR(__xludf.DUMMYFUNCTION("GOOGLETRANSLATE(B2206, ""bn"", ""en"")"),"When some of the women started screaming after witnessing the brutal killing, they were beaten with guns and injured. Many of them fainted. They piled the bodies together and set them on fire with petrol. Those who were injured also died in the fire. Witn"&amp;"esses mentioned that some women and children were burnt in the fire.")</f>
        <v>When some of the women started screaming after witnessing the brutal killing, they were beaten with guns and injured. Many of them fainted. They piled the bodies together and set them on fire with petrol. Those who were injured also died in the fire. Witnesses mentioned that some women and children were burnt in the fire.</v>
      </c>
      <c r="D2206" s="5"/>
      <c r="E2206" s="5"/>
      <c r="F2206" s="5"/>
      <c r="G2206" s="5"/>
      <c r="H2206" s="5"/>
      <c r="I2206" s="5"/>
      <c r="J2206" s="5"/>
      <c r="K2206" s="5"/>
      <c r="L2206" s="5"/>
      <c r="M2206" s="5"/>
      <c r="N2206" s="5"/>
      <c r="O2206" s="5"/>
      <c r="P2206" s="5"/>
      <c r="Q2206" s="5"/>
      <c r="R2206" s="5"/>
      <c r="S2206" s="5"/>
      <c r="T2206" s="5"/>
      <c r="U2206" s="5"/>
      <c r="V2206" s="5"/>
      <c r="W2206" s="5"/>
      <c r="X2206" s="5"/>
      <c r="Y2206" s="5"/>
      <c r="Z2206" s="5"/>
    </row>
    <row r="2207" spans="1:26" ht="15.6" x14ac:dyDescent="0.3">
      <c r="A2207" s="18" t="s">
        <v>8</v>
      </c>
      <c r="B2207" s="24" t="s">
        <v>2202</v>
      </c>
      <c r="C2207" s="2" t="str">
        <f ca="1">IFERROR(__xludf.DUMMYFUNCTION("GOOGLETRANSLATE(B2207, ""bn"", ""en"")"),"On February 15, 2024, they entered the newly constructed Thakurbari in Rajnagar, Moulvibazar and threw the idols inside on the ground.")</f>
        <v>On February 15, 2024, they entered the newly constructed Thakurbari in Rajnagar, Moulvibazar and threw the idols inside on the ground.</v>
      </c>
      <c r="D2207" s="5"/>
      <c r="E2207" s="5"/>
      <c r="F2207" s="5"/>
      <c r="G2207" s="5"/>
      <c r="H2207" s="5"/>
      <c r="I2207" s="5"/>
      <c r="J2207" s="5"/>
      <c r="K2207" s="5"/>
      <c r="L2207" s="5"/>
      <c r="M2207" s="5"/>
      <c r="N2207" s="5"/>
      <c r="O2207" s="5"/>
      <c r="P2207" s="5"/>
      <c r="Q2207" s="5"/>
      <c r="R2207" s="5"/>
      <c r="S2207" s="5"/>
      <c r="T2207" s="5"/>
      <c r="U2207" s="5"/>
      <c r="V2207" s="5"/>
      <c r="W2207" s="5"/>
      <c r="X2207" s="5"/>
      <c r="Y2207" s="5"/>
      <c r="Z2207" s="5"/>
    </row>
    <row r="2208" spans="1:26" ht="15.6" x14ac:dyDescent="0.3">
      <c r="A2208" s="18" t="s">
        <v>5</v>
      </c>
      <c r="B2208" s="25" t="s">
        <v>2203</v>
      </c>
      <c r="C2208" s="2" t="str">
        <f ca="1">IFERROR(__xludf.DUMMYFUNCTION("GOOGLETRANSLATE(B2208, ""bn"", ""en"")"),"85 killed in drone attack on Muslim religious gathering")</f>
        <v>85 killed in drone attack on Muslim religious gathering</v>
      </c>
      <c r="D2208" s="2"/>
      <c r="E2208" s="2"/>
      <c r="F2208" s="2"/>
      <c r="G2208" s="2"/>
      <c r="H2208" s="3"/>
      <c r="I2208" s="3"/>
      <c r="J2208" s="3"/>
      <c r="K2208" s="3"/>
      <c r="L2208" s="3"/>
      <c r="M2208" s="3"/>
      <c r="N2208" s="3"/>
      <c r="O2208" s="3"/>
      <c r="P2208" s="3"/>
      <c r="Q2208" s="3"/>
      <c r="R2208" s="3"/>
      <c r="S2208" s="3"/>
      <c r="T2208" s="3"/>
      <c r="U2208" s="3"/>
      <c r="V2208" s="3"/>
      <c r="W2208" s="3"/>
      <c r="X2208" s="3"/>
      <c r="Y2208" s="3"/>
      <c r="Z2208" s="3"/>
    </row>
    <row r="2209" spans="1:26" ht="15.6" x14ac:dyDescent="0.3">
      <c r="A2209" s="19" t="s">
        <v>8</v>
      </c>
      <c r="B2209" s="26" t="s">
        <v>2204</v>
      </c>
      <c r="C2209" s="2" t="str">
        <f ca="1">IFERROR(__xludf.DUMMYFUNCTION("GOOGLETRANSLATE(B2209, ""bn"", ""en"")"),"Many writers and journalists were threatened and attacked for speaking out against religious intolerance, including M. M. Kalburgi and Gauri Lankesh are notable.")</f>
        <v>Many writers and journalists were threatened and attacked for speaking out against religious intolerance, including M. M. Kalburgi and Gauri Lankesh are notable.</v>
      </c>
      <c r="D2209" s="5"/>
      <c r="E2209" s="5"/>
      <c r="F2209" s="5"/>
      <c r="G2209" s="5"/>
      <c r="H2209" s="5"/>
      <c r="I2209" s="5"/>
      <c r="J2209" s="5"/>
      <c r="K2209" s="5"/>
      <c r="L2209" s="5"/>
      <c r="M2209" s="5"/>
      <c r="N2209" s="5"/>
      <c r="O2209" s="5"/>
      <c r="P2209" s="5"/>
      <c r="Q2209" s="5"/>
      <c r="R2209" s="5"/>
      <c r="S2209" s="5"/>
      <c r="T2209" s="5"/>
      <c r="U2209" s="5"/>
      <c r="V2209" s="5"/>
      <c r="W2209" s="5"/>
      <c r="X2209" s="5"/>
      <c r="Y2209" s="5"/>
      <c r="Z2209" s="5"/>
    </row>
    <row r="2210" spans="1:26" ht="15.6" x14ac:dyDescent="0.3">
      <c r="A2210" s="18" t="s">
        <v>8</v>
      </c>
      <c r="B2210" s="25" t="s">
        <v>2205</v>
      </c>
      <c r="C2210" s="2" t="str">
        <f ca="1">IFERROR(__xludf.DUMMYFUNCTION("GOOGLETRANSLATE(B2210, ""bn"", ""en"")"),"In 2015, a horrific bomb blast occurred in front of a mosque in Charnagarpur during prayers, injuring many worshippers.")</f>
        <v>In 2015, a horrific bomb blast occurred in front of a mosque in Charnagarpur during prayers, injuring many worshippers.</v>
      </c>
      <c r="D2210" s="2"/>
      <c r="E2210" s="2"/>
      <c r="F2210" s="2"/>
      <c r="G2210" s="2"/>
      <c r="H2210" s="5"/>
      <c r="I2210" s="5"/>
      <c r="J2210" s="5"/>
      <c r="K2210" s="5"/>
      <c r="L2210" s="5"/>
      <c r="M2210" s="5"/>
      <c r="N2210" s="5"/>
      <c r="O2210" s="5"/>
      <c r="P2210" s="5"/>
      <c r="Q2210" s="5"/>
      <c r="R2210" s="5"/>
      <c r="S2210" s="5"/>
      <c r="T2210" s="5"/>
      <c r="U2210" s="5"/>
      <c r="V2210" s="5"/>
      <c r="W2210" s="5"/>
      <c r="X2210" s="5"/>
      <c r="Y2210" s="5"/>
      <c r="Z2210" s="5"/>
    </row>
    <row r="2211" spans="1:26" ht="15.6" x14ac:dyDescent="0.3">
      <c r="A2211" s="18" t="s">
        <v>3</v>
      </c>
      <c r="B2211" s="25" t="s">
        <v>2206</v>
      </c>
      <c r="C2211" s="2" t="str">
        <f ca="1">IFERROR(__xludf.DUMMYFUNCTION("GOOGLETRANSLATE(B2211, ""bn"", ""en"")"),"What happens when two favorite faces are together, may Allah Ta'ala grant them both a good life, Ameen")</f>
        <v>What happens when two favorite faces are together, may Allah Ta'ala grant them both a good life, Ameen</v>
      </c>
      <c r="D2211" s="5"/>
      <c r="E2211" s="5"/>
      <c r="F2211" s="5"/>
      <c r="G2211" s="5"/>
      <c r="H2211" s="5"/>
      <c r="I2211" s="5"/>
      <c r="J2211" s="5"/>
      <c r="K2211" s="5"/>
      <c r="L2211" s="5"/>
      <c r="M2211" s="5"/>
      <c r="N2211" s="5"/>
      <c r="O2211" s="5"/>
      <c r="P2211" s="5"/>
      <c r="Q2211" s="5"/>
      <c r="R2211" s="5"/>
      <c r="S2211" s="5"/>
      <c r="T2211" s="5"/>
      <c r="U2211" s="5"/>
      <c r="V2211" s="5"/>
      <c r="W2211" s="5"/>
      <c r="X2211" s="5"/>
      <c r="Y2211" s="5"/>
      <c r="Z2211" s="5"/>
    </row>
    <row r="2212" spans="1:26" ht="15.6" x14ac:dyDescent="0.3">
      <c r="A2212" s="18" t="s">
        <v>5</v>
      </c>
      <c r="B2212" s="25" t="s">
        <v>2207</v>
      </c>
      <c r="C2212" s="2" t="str">
        <f ca="1">IFERROR(__xludf.DUMMYFUNCTION("GOOGLETRANSLATE(B2212, ""bn"", ""en"")"),"A radical gunman attacked two mosques, killing 51 worshippers, in what became a global example of Islamophobia.")</f>
        <v>A radical gunman attacked two mosques, killing 51 worshippers, in what became a global example of Islamophobia.</v>
      </c>
      <c r="D2212" s="5"/>
      <c r="E2212" s="5"/>
      <c r="F2212" s="5"/>
      <c r="G2212" s="5"/>
      <c r="H2212" s="5"/>
      <c r="I2212" s="5"/>
      <c r="J2212" s="5"/>
      <c r="K2212" s="5"/>
      <c r="L2212" s="5"/>
      <c r="M2212" s="5"/>
      <c r="N2212" s="5"/>
      <c r="O2212" s="5"/>
      <c r="P2212" s="5"/>
      <c r="Q2212" s="5"/>
      <c r="R2212" s="5"/>
      <c r="S2212" s="5"/>
      <c r="T2212" s="5"/>
      <c r="U2212" s="5"/>
      <c r="V2212" s="5"/>
      <c r="W2212" s="5"/>
      <c r="X2212" s="5"/>
      <c r="Y2212" s="5"/>
      <c r="Z2212" s="5"/>
    </row>
    <row r="2213" spans="1:26" ht="15.6" x14ac:dyDescent="0.3">
      <c r="A2213" s="18" t="s">
        <v>3</v>
      </c>
      <c r="B2213" s="25" t="s">
        <v>2208</v>
      </c>
      <c r="C2213" s="2" t="str">
        <f ca="1">IFERROR(__xludf.DUMMYFUNCTION("GOOGLETRANSLATE(B2213, ""bn"", ""en"")"),"Christianity says that in the heart of man is the love of God, and through this love we can serve one another with compassion and love, so that the world becomes a peaceful and united place.")</f>
        <v>Christianity says that in the heart of man is the love of God, and through this love we can serve one another with compassion and love, so that the world becomes a peaceful and united place.</v>
      </c>
      <c r="D2213" s="5"/>
      <c r="E2213" s="5"/>
      <c r="F2213" s="5"/>
      <c r="G2213" s="5"/>
      <c r="H2213" s="5"/>
      <c r="I2213" s="5"/>
      <c r="J2213" s="5"/>
      <c r="K2213" s="5"/>
      <c r="L2213" s="5"/>
      <c r="M2213" s="5"/>
      <c r="N2213" s="5"/>
      <c r="O2213" s="5"/>
      <c r="P2213" s="5"/>
      <c r="Q2213" s="5"/>
      <c r="R2213" s="5"/>
      <c r="S2213" s="5"/>
      <c r="T2213" s="5"/>
      <c r="U2213" s="5"/>
      <c r="V2213" s="5"/>
      <c r="W2213" s="5"/>
      <c r="X2213" s="5"/>
      <c r="Y2213" s="5"/>
      <c r="Z2213" s="5"/>
    </row>
    <row r="2214" spans="1:26" ht="15.6" x14ac:dyDescent="0.3">
      <c r="A2214" s="19" t="s">
        <v>23</v>
      </c>
      <c r="B2214" s="26" t="s">
        <v>2209</v>
      </c>
      <c r="C2214" s="2" t="str">
        <f ca="1">IFERROR(__xludf.DUMMYFUNCTION("GOOGLETRANSLATE(B2214, ""bn"", ""en"")"),"Hindu non-cooperation in Muslim political upheaval is evident in places including Noakhali. A section of Muslims expressed anger against the Hindu landlords.")</f>
        <v>Hindu non-cooperation in Muslim political upheaval is evident in places including Noakhali. A section of Muslims expressed anger against the Hindu landlords.</v>
      </c>
      <c r="D2214" s="7"/>
      <c r="E2214" s="7"/>
      <c r="F2214" s="7"/>
      <c r="G2214" s="7"/>
      <c r="H2214" s="7"/>
      <c r="I2214" s="7"/>
      <c r="J2214" s="7"/>
      <c r="K2214" s="7"/>
      <c r="L2214" s="5"/>
      <c r="M2214" s="5"/>
      <c r="N2214" s="5"/>
      <c r="O2214" s="5"/>
      <c r="P2214" s="5"/>
      <c r="Q2214" s="5"/>
      <c r="R2214" s="5"/>
      <c r="S2214" s="5"/>
      <c r="T2214" s="5"/>
      <c r="U2214" s="5"/>
      <c r="V2214" s="5"/>
      <c r="W2214" s="5"/>
      <c r="X2214" s="5"/>
      <c r="Y2214" s="5"/>
      <c r="Z2214" s="5"/>
    </row>
    <row r="2215" spans="1:26" ht="15.6" x14ac:dyDescent="0.3">
      <c r="A2215" s="18" t="s">
        <v>3</v>
      </c>
      <c r="B2215" s="25" t="s">
        <v>2210</v>
      </c>
      <c r="C2215" s="2" t="str">
        <f ca="1">IFERROR(__xludf.DUMMYFUNCTION("GOOGLETRANSLATE(B2215, ""bn"", ""en"")"),"Our country is a country without religious discrimination. Hindus and Muslims of this country sit and eat together and people of all religions live together.")</f>
        <v>Our country is a country without religious discrimination. Hindus and Muslims of this country sit and eat together and people of all religions live together.</v>
      </c>
      <c r="D2215" s="5"/>
      <c r="E2215" s="5"/>
      <c r="F2215" s="5"/>
      <c r="G2215" s="5"/>
      <c r="H2215" s="5"/>
      <c r="I2215" s="5"/>
      <c r="J2215" s="5"/>
      <c r="K2215" s="5"/>
      <c r="L2215" s="5"/>
      <c r="M2215" s="5"/>
      <c r="N2215" s="5"/>
      <c r="O2215" s="5"/>
      <c r="P2215" s="5"/>
      <c r="Q2215" s="5"/>
      <c r="R2215" s="5"/>
      <c r="S2215" s="5"/>
      <c r="T2215" s="5"/>
      <c r="U2215" s="5"/>
      <c r="V2215" s="5"/>
      <c r="W2215" s="5"/>
      <c r="X2215" s="5"/>
      <c r="Y2215" s="5"/>
      <c r="Z2215" s="5"/>
    </row>
    <row r="2216" spans="1:26" ht="15.6" x14ac:dyDescent="0.3">
      <c r="A2216" s="19" t="s">
        <v>5</v>
      </c>
      <c r="B2216" s="26" t="s">
        <v>2211</v>
      </c>
      <c r="C2216" s="2" t="str">
        <f ca="1">IFERROR(__xludf.DUMMYFUNCTION("GOOGLETRANSLATE(B2216, ""bn"", ""en"")"),"There are many stories about girls who commit suicide. There have been cases of suicide in this country for trivial reasons such as not getting married because of the color of the skin.")</f>
        <v>There are many stories about girls who commit suicide. There have been cases of suicide in this country for trivial reasons such as not getting married because of the color of the skin.</v>
      </c>
      <c r="D2216" s="5"/>
      <c r="E2216" s="5"/>
      <c r="F2216" s="5"/>
      <c r="G2216" s="5"/>
      <c r="H2216" s="5"/>
      <c r="I2216" s="5"/>
      <c r="J2216" s="5"/>
      <c r="K2216" s="5"/>
      <c r="L2216" s="5"/>
      <c r="M2216" s="5"/>
      <c r="N2216" s="5"/>
      <c r="O2216" s="5"/>
      <c r="P2216" s="5"/>
      <c r="Q2216" s="5"/>
      <c r="R2216" s="5"/>
      <c r="S2216" s="5"/>
      <c r="T2216" s="5"/>
      <c r="U2216" s="5"/>
      <c r="V2216" s="5"/>
      <c r="W2216" s="5"/>
      <c r="X2216" s="5"/>
      <c r="Y2216" s="5"/>
      <c r="Z2216" s="5"/>
    </row>
    <row r="2217" spans="1:26" ht="15.6" x14ac:dyDescent="0.3">
      <c r="A2217" s="18" t="s">
        <v>5</v>
      </c>
      <c r="B2217" s="24" t="s">
        <v>2212</v>
      </c>
      <c r="C2217" s="2" t="str">
        <f ca="1">IFERROR(__xludf.DUMMYFUNCTION("GOOGLETRANSLATE(B2217, ""bn"", ""en"")"),"In August 2019, a group of religious groups revoked the citizenship of minorities, leaving 59 people dead from poverty and illness.")</f>
        <v>In August 2019, a group of religious groups revoked the citizenship of minorities, leaving 59 people dead from poverty and illness.</v>
      </c>
      <c r="D2217" s="5"/>
      <c r="E2217" s="5"/>
      <c r="F2217" s="5"/>
      <c r="G2217" s="5"/>
      <c r="H2217" s="5"/>
      <c r="I2217" s="5"/>
      <c r="J2217" s="5"/>
      <c r="K2217" s="5"/>
      <c r="L2217" s="5"/>
      <c r="M2217" s="5"/>
      <c r="N2217" s="5"/>
      <c r="O2217" s="5"/>
      <c r="P2217" s="5"/>
      <c r="Q2217" s="5"/>
      <c r="R2217" s="5"/>
      <c r="S2217" s="5"/>
      <c r="T2217" s="5"/>
      <c r="U2217" s="5"/>
      <c r="V2217" s="5"/>
      <c r="W2217" s="5"/>
      <c r="X2217" s="5"/>
      <c r="Y2217" s="5"/>
      <c r="Z2217" s="5"/>
    </row>
    <row r="2218" spans="1:26" ht="15.6" x14ac:dyDescent="0.3">
      <c r="A2218" s="18" t="s">
        <v>8</v>
      </c>
      <c r="B2218" s="25" t="s">
        <v>2213</v>
      </c>
      <c r="C2218" s="2" t="str">
        <f ca="1">IFERROR(__xludf.DUMMYFUNCTION("GOOGLETRANSLATE(B2218, ""bn"", ""en"")"),"As the day progressed, the angry religious crowd turned violent. Apart from clashing with the police, they set fire to an office in Motijheel, a violence that broke out over allegations of hurting religious sentiments.")</f>
        <v>As the day progressed, the angry religious crowd turned violent. Apart from clashing with the police, they set fire to an office in Motijheel, a violence that broke out over allegations of hurting religious sentiments.</v>
      </c>
      <c r="D2218" s="5"/>
      <c r="E2218" s="5"/>
      <c r="F2218" s="5"/>
      <c r="G2218" s="5"/>
      <c r="H2218" s="5"/>
      <c r="I2218" s="5"/>
      <c r="J2218" s="5"/>
      <c r="K2218" s="5"/>
      <c r="L2218" s="5"/>
      <c r="M2218" s="5"/>
      <c r="N2218" s="5"/>
      <c r="O2218" s="5"/>
      <c r="P2218" s="5"/>
      <c r="Q2218" s="5"/>
      <c r="R2218" s="5"/>
      <c r="S2218" s="5"/>
      <c r="T2218" s="5"/>
      <c r="U2218" s="5"/>
      <c r="V2218" s="5"/>
      <c r="W2218" s="5"/>
      <c r="X2218" s="5"/>
      <c r="Y2218" s="5"/>
      <c r="Z2218" s="5"/>
    </row>
    <row r="2219" spans="1:26" ht="15.6" x14ac:dyDescent="0.3">
      <c r="A2219" s="18" t="s">
        <v>5</v>
      </c>
      <c r="B2219" s="24" t="s">
        <v>2214</v>
      </c>
      <c r="C2219" s="2" t="str">
        <f ca="1">IFERROR(__xludf.DUMMYFUNCTION("GOOGLETRANSLATE(B2219, ""bn"", ""en"")"),"A journalist was killed for speaking against a religious leader, and 17 people lost their lives in the violence.")</f>
        <v>A journalist was killed for speaking against a religious leader, and 17 people lost their lives in the violence.</v>
      </c>
      <c r="D2219" s="5"/>
      <c r="E2219" s="5"/>
      <c r="F2219" s="5"/>
      <c r="G2219" s="5"/>
      <c r="H2219" s="5"/>
      <c r="I2219" s="5"/>
      <c r="J2219" s="5"/>
      <c r="K2219" s="5"/>
      <c r="L2219" s="5"/>
      <c r="M2219" s="5"/>
      <c r="N2219" s="5"/>
      <c r="O2219" s="5"/>
      <c r="P2219" s="5"/>
      <c r="Q2219" s="5"/>
      <c r="R2219" s="5"/>
      <c r="S2219" s="5"/>
      <c r="T2219" s="5"/>
      <c r="U2219" s="5"/>
      <c r="V2219" s="5"/>
      <c r="W2219" s="5"/>
      <c r="X2219" s="5"/>
      <c r="Y2219" s="5"/>
      <c r="Z2219" s="5"/>
    </row>
    <row r="2220" spans="1:26" ht="15.6" x14ac:dyDescent="0.3">
      <c r="A2220" s="18" t="s">
        <v>3</v>
      </c>
      <c r="B2220" s="25" t="s">
        <v>2215</v>
      </c>
      <c r="C2220" s="2" t="str">
        <f ca="1">IFERROR(__xludf.DUMMYFUNCTION("GOOGLETRANSLATE(B2220, ""bn"", ""en"")"),"In 2017, it was announced at an international conference that initiatives would be taken to increase foreign tourists to Buddhist institutions.")</f>
        <v>In 2017, it was announced at an international conference that initiatives would be taken to increase foreign tourists to Buddhist institutions.</v>
      </c>
      <c r="D2220" s="7"/>
      <c r="E2220" s="7"/>
      <c r="F2220" s="7"/>
      <c r="G2220" s="7"/>
      <c r="H2220" s="7"/>
      <c r="I2220" s="7"/>
      <c r="J2220" s="5"/>
      <c r="K2220" s="5"/>
      <c r="L2220" s="5"/>
      <c r="M2220" s="5"/>
      <c r="N2220" s="5"/>
      <c r="O2220" s="5"/>
      <c r="P2220" s="5"/>
      <c r="Q2220" s="5"/>
      <c r="R2220" s="5"/>
      <c r="S2220" s="5"/>
      <c r="T2220" s="5"/>
      <c r="U2220" s="5"/>
      <c r="V2220" s="5"/>
      <c r="W2220" s="5"/>
      <c r="X2220" s="5"/>
      <c r="Y2220" s="5"/>
      <c r="Z2220" s="5"/>
    </row>
    <row r="2221" spans="1:26" ht="15.6" x14ac:dyDescent="0.3">
      <c r="A2221" s="18" t="s">
        <v>23</v>
      </c>
      <c r="B2221" s="24" t="s">
        <v>2216</v>
      </c>
      <c r="C2221" s="2" t="str">
        <f ca="1">IFERROR(__xludf.DUMMYFUNCTION("GOOGLETRANSLATE(B2221, ""bn"", ""en"")"),"Christian missionaries are creating division in society and destroying religious harmony in the name of conversion.")</f>
        <v>Christian missionaries are creating division in society and destroying religious harmony in the name of conversion.</v>
      </c>
      <c r="D2221" s="5"/>
      <c r="E2221" s="5"/>
      <c r="F2221" s="5"/>
      <c r="G2221" s="5"/>
      <c r="H2221" s="5"/>
      <c r="I2221" s="5"/>
      <c r="J2221" s="5"/>
      <c r="K2221" s="5"/>
      <c r="L2221" s="5"/>
      <c r="M2221" s="5"/>
      <c r="N2221" s="5"/>
      <c r="O2221" s="5"/>
      <c r="P2221" s="5"/>
      <c r="Q2221" s="5"/>
      <c r="R2221" s="5"/>
      <c r="S2221" s="5"/>
      <c r="T2221" s="5"/>
      <c r="U2221" s="5"/>
      <c r="V2221" s="5"/>
      <c r="W2221" s="5"/>
      <c r="X2221" s="5"/>
      <c r="Y2221" s="5"/>
      <c r="Z2221" s="5"/>
    </row>
    <row r="2222" spans="1:26" ht="15.6" x14ac:dyDescent="0.3">
      <c r="A2222" s="18" t="s">
        <v>5</v>
      </c>
      <c r="B2222" s="25" t="s">
        <v>2217</v>
      </c>
      <c r="C2222" s="2" t="str">
        <f ca="1">IFERROR(__xludf.DUMMYFUNCTION("GOOGLETRANSLATE(B2222, ""bn"", ""en"")"),"In the 2002 Sherpur riots, violence between Muslim and Hindu communities resulted in the loss of many innocent lives, a brutal result of religious hatred.")</f>
        <v>In the 2002 Sherpur riots, violence between Muslim and Hindu communities resulted in the loss of many innocent lives, a brutal result of religious hatred.</v>
      </c>
      <c r="D2222" s="2"/>
      <c r="E2222" s="2"/>
      <c r="F2222" s="2"/>
      <c r="G2222" s="2"/>
      <c r="H2222" s="3"/>
      <c r="I2222" s="3"/>
      <c r="J2222" s="3"/>
      <c r="K2222" s="3"/>
      <c r="L2222" s="3"/>
      <c r="M2222" s="3"/>
      <c r="N2222" s="3"/>
      <c r="O2222" s="3"/>
      <c r="P2222" s="3"/>
      <c r="Q2222" s="3"/>
      <c r="R2222" s="3"/>
      <c r="S2222" s="3"/>
      <c r="T2222" s="3"/>
      <c r="U2222" s="3"/>
      <c r="V2222" s="3"/>
      <c r="W2222" s="3"/>
      <c r="X2222" s="3"/>
      <c r="Y2222" s="3"/>
      <c r="Z2222" s="3"/>
    </row>
    <row r="2223" spans="1:26" ht="15.6" x14ac:dyDescent="0.3">
      <c r="A2223" s="19" t="s">
        <v>5</v>
      </c>
      <c r="B2223" s="26" t="s">
        <v>2218</v>
      </c>
      <c r="C2223" s="2" t="str">
        <f ca="1">IFERROR(__xludf.DUMMYFUNCTION("GOOGLETRANSLATE(B2223, ""bn"", ""en"")"),"Many innocent people have lost their lives in clashes between different religious communities in Bangladesh, which is a glaring example of religious division.")</f>
        <v>Many innocent people have lost their lives in clashes between different religious communities in Bangladesh, which is a glaring example of religious division.</v>
      </c>
      <c r="D2223" s="7"/>
      <c r="E2223" s="7"/>
      <c r="F2223" s="7"/>
      <c r="G2223" s="7"/>
      <c r="H2223" s="7"/>
      <c r="I2223" s="5"/>
      <c r="J2223" s="5"/>
      <c r="K2223" s="5"/>
      <c r="L2223" s="5"/>
      <c r="M2223" s="5"/>
      <c r="N2223" s="5"/>
      <c r="O2223" s="5"/>
      <c r="P2223" s="5"/>
      <c r="Q2223" s="5"/>
      <c r="R2223" s="5"/>
      <c r="S2223" s="5"/>
      <c r="T2223" s="5"/>
      <c r="U2223" s="5"/>
      <c r="V2223" s="5"/>
      <c r="W2223" s="5"/>
      <c r="X2223" s="5"/>
      <c r="Y2223" s="5"/>
      <c r="Z2223" s="5"/>
    </row>
    <row r="2224" spans="1:26" ht="15.6" x14ac:dyDescent="0.3">
      <c r="A2224" s="18" t="s">
        <v>23</v>
      </c>
      <c r="B2224" s="25" t="s">
        <v>2219</v>
      </c>
      <c r="C2224" s="2" t="str">
        <f ca="1">IFERROR(__xludf.DUMMYFUNCTION("GOOGLETRANSLATE(B2224, ""bn"", ""en"")"),"Different religious extremists have created chaos across the country by targeting innocent Hindu Rasraj in fake Facebook posts.")</f>
        <v>Different religious extremists have created chaos across the country by targeting innocent Hindu Rasraj in fake Facebook posts.</v>
      </c>
      <c r="D2224" s="5"/>
      <c r="E2224" s="5"/>
      <c r="F2224" s="5"/>
      <c r="G2224" s="5"/>
      <c r="H2224" s="5"/>
      <c r="I2224" s="5"/>
      <c r="J2224" s="5"/>
      <c r="K2224" s="5"/>
      <c r="L2224" s="5"/>
      <c r="M2224" s="5"/>
      <c r="N2224" s="5"/>
      <c r="O2224" s="5"/>
      <c r="P2224" s="5"/>
      <c r="Q2224" s="5"/>
      <c r="R2224" s="5"/>
      <c r="S2224" s="5"/>
      <c r="T2224" s="5"/>
      <c r="U2224" s="5"/>
      <c r="V2224" s="5"/>
      <c r="W2224" s="5"/>
      <c r="X2224" s="5"/>
      <c r="Y2224" s="5"/>
      <c r="Z2224" s="5"/>
    </row>
    <row r="2225" spans="1:26" ht="15.6" x14ac:dyDescent="0.3">
      <c r="A2225" s="18" t="s">
        <v>8</v>
      </c>
      <c r="B2225" s="25" t="s">
        <v>2220</v>
      </c>
      <c r="C2225" s="2" t="str">
        <f ca="1">IFERROR(__xludf.DUMMYFUNCTION("GOOGLETRANSLATE(B2225, ""bn"", ""en"")"),"In 2016, there were attacks on Hindu temples and houses in Comilla's Nasirnagar on rumors of blasphemy.")</f>
        <v>In 2016, there were attacks on Hindu temples and houses in Comilla's Nasirnagar on rumors of blasphemy.</v>
      </c>
      <c r="D2225" s="5"/>
      <c r="E2225" s="5"/>
      <c r="F2225" s="5"/>
      <c r="G2225" s="5"/>
      <c r="H2225" s="5"/>
      <c r="I2225" s="5"/>
      <c r="J2225" s="5"/>
      <c r="K2225" s="5"/>
      <c r="L2225" s="5"/>
      <c r="M2225" s="5"/>
      <c r="N2225" s="5"/>
      <c r="O2225" s="5"/>
      <c r="P2225" s="5"/>
      <c r="Q2225" s="5"/>
      <c r="R2225" s="5"/>
      <c r="S2225" s="5"/>
      <c r="T2225" s="5"/>
      <c r="U2225" s="5"/>
      <c r="V2225" s="5"/>
      <c r="W2225" s="5"/>
      <c r="X2225" s="5"/>
      <c r="Y2225" s="5"/>
      <c r="Z2225" s="5"/>
    </row>
    <row r="2226" spans="1:26" ht="15.6" x14ac:dyDescent="0.3">
      <c r="A2226" s="18" t="s">
        <v>8</v>
      </c>
      <c r="B2226" s="25" t="s">
        <v>2221</v>
      </c>
      <c r="C2226" s="2" t="str">
        <f ca="1">IFERROR(__xludf.DUMMYFUNCTION("GOOGLETRANSLATE(B2226, ""bn"", ""en"")"),"A picture of Hindus with sticks and weapons tying a rope around the neck of a Muslim was drawn on the poster with the title: Persecution of Hindus on Muslims in Hindustan.")</f>
        <v>A picture of Hindus with sticks and weapons tying a rope around the neck of a Muslim was drawn on the poster with the title: Persecution of Hindus on Muslims in Hindustan.</v>
      </c>
      <c r="D2226" s="2"/>
      <c r="E2226" s="2"/>
      <c r="F2226" s="2"/>
      <c r="G2226" s="2"/>
      <c r="H2226" s="3"/>
      <c r="I2226" s="3"/>
      <c r="J2226" s="3"/>
      <c r="K2226" s="3"/>
      <c r="L2226" s="3"/>
      <c r="M2226" s="3"/>
      <c r="N2226" s="3"/>
      <c r="O2226" s="3"/>
      <c r="P2226" s="3"/>
      <c r="Q2226" s="3"/>
      <c r="R2226" s="3"/>
      <c r="S2226" s="3"/>
      <c r="T2226" s="3"/>
      <c r="U2226" s="3"/>
      <c r="V2226" s="3"/>
      <c r="W2226" s="3"/>
      <c r="X2226" s="3"/>
      <c r="Y2226" s="3"/>
      <c r="Z2226" s="3"/>
    </row>
    <row r="2227" spans="1:26" ht="15.6" x14ac:dyDescent="0.3">
      <c r="A2227" s="19" t="s">
        <v>8</v>
      </c>
      <c r="B2227" s="26" t="s">
        <v>2222</v>
      </c>
      <c r="C2227" s="2" t="str">
        <f ca="1">IFERROR(__xludf.DUMMYFUNCTION("GOOGLETRANSLATE(B2227, ""bn"", ""en"")"),"After midnight on October 30, around 2,000 Muslims armed with knives, iron rods, ram da, khontas and various other weapons attacked and set fire to around 300 Hindu houses around the Kaivalyadham temple.")</f>
        <v>After midnight on October 30, around 2,000 Muslims armed with knives, iron rods, ram da, khontas and various other weapons attacked and set fire to around 300 Hindu houses around the Kaivalyadham temple.</v>
      </c>
      <c r="D2227" s="5"/>
      <c r="E2227" s="5"/>
      <c r="F2227" s="5"/>
      <c r="G2227" s="5"/>
      <c r="H2227" s="5"/>
      <c r="I2227" s="5"/>
      <c r="J2227" s="5"/>
      <c r="K2227" s="5"/>
      <c r="L2227" s="5"/>
      <c r="M2227" s="5"/>
      <c r="N2227" s="5"/>
      <c r="O2227" s="5"/>
      <c r="P2227" s="5"/>
      <c r="Q2227" s="5"/>
      <c r="R2227" s="5"/>
      <c r="S2227" s="5"/>
      <c r="T2227" s="5"/>
      <c r="U2227" s="5"/>
      <c r="V2227" s="5"/>
      <c r="W2227" s="5"/>
      <c r="X2227" s="5"/>
      <c r="Y2227" s="5"/>
      <c r="Z2227" s="5"/>
    </row>
    <row r="2228" spans="1:26" ht="15.6" x14ac:dyDescent="0.3">
      <c r="A2228" s="18" t="s">
        <v>23</v>
      </c>
      <c r="B2228" s="25" t="s">
        <v>2223</v>
      </c>
      <c r="C2228" s="2" t="str">
        <f ca="1">IFERROR(__xludf.DUMMYFUNCTION("GOOGLETRANSLATE(B2228, ""bn"", ""en"")"),"In Ramu Upazila of Cox's Bazar, a Buddhist youth insulted the Holy Quran by showing unimaginable courage. That young man also showed audacity about Almighty Allah and Kaaba Sharif.")</f>
        <v>In Ramu Upazila of Cox's Bazar, a Buddhist youth insulted the Holy Quran by showing unimaginable courage. That young man also showed audacity about Almighty Allah and Kaaba Sharif.</v>
      </c>
      <c r="D2228" s="5"/>
      <c r="E2228" s="5"/>
      <c r="F2228" s="5"/>
      <c r="G2228" s="5"/>
      <c r="H2228" s="5"/>
      <c r="I2228" s="5"/>
      <c r="J2228" s="5"/>
      <c r="K2228" s="5"/>
      <c r="L2228" s="5"/>
      <c r="M2228" s="5"/>
      <c r="N2228" s="5"/>
      <c r="O2228" s="5"/>
      <c r="P2228" s="5"/>
      <c r="Q2228" s="5"/>
      <c r="R2228" s="5"/>
      <c r="S2228" s="5"/>
      <c r="T2228" s="5"/>
      <c r="U2228" s="5"/>
      <c r="V2228" s="5"/>
      <c r="W2228" s="5"/>
      <c r="X2228" s="5"/>
      <c r="Y2228" s="5"/>
      <c r="Z2228" s="5"/>
    </row>
    <row r="2229" spans="1:26" ht="15.6" x14ac:dyDescent="0.3">
      <c r="A2229" s="18" t="s">
        <v>23</v>
      </c>
      <c r="B2229" s="25" t="s">
        <v>2224</v>
      </c>
      <c r="C2229" s="2" t="str">
        <f ca="1">IFERROR(__xludf.DUMMYFUNCTION("GOOGLETRANSLATE(B2229, ""bn"", ""en"")"),"Muslims all over the world protest against the old Quran but our country's devolved monkey government is very happy.")</f>
        <v>Muslims all over the world protest against the old Quran but our country's devolved monkey government is very happy.</v>
      </c>
      <c r="D2229" s="5"/>
      <c r="E2229" s="5"/>
      <c r="F2229" s="5"/>
      <c r="G2229" s="5"/>
      <c r="H2229" s="5"/>
      <c r="I2229" s="5"/>
      <c r="J2229" s="5"/>
      <c r="K2229" s="5"/>
      <c r="L2229" s="5"/>
      <c r="M2229" s="5"/>
      <c r="N2229" s="5"/>
      <c r="O2229" s="5"/>
      <c r="P2229" s="5"/>
      <c r="Q2229" s="5"/>
      <c r="R2229" s="5"/>
      <c r="S2229" s="5"/>
      <c r="T2229" s="5"/>
      <c r="U2229" s="5"/>
      <c r="V2229" s="5"/>
      <c r="W2229" s="5"/>
      <c r="X2229" s="5"/>
      <c r="Y2229" s="5"/>
      <c r="Z2229" s="5"/>
    </row>
    <row r="2230" spans="1:26" ht="15.6" x14ac:dyDescent="0.3">
      <c r="A2230" s="18" t="s">
        <v>8</v>
      </c>
      <c r="B2230" s="25" t="s">
        <v>2225</v>
      </c>
      <c r="C2230" s="2" t="str">
        <f ca="1">IFERROR(__xludf.DUMMYFUNCTION("GOOGLETRANSLATE(B2230, ""bn"", ""en"")"),"In the 2000s, communal violence between Muslims and Christians occurred regularly in the north, where many villages were burned and")</f>
        <v>In the 2000s, communal violence between Muslims and Christians occurred regularly in the north, where many villages were burned and</v>
      </c>
      <c r="D2230" s="5"/>
      <c r="E2230" s="5"/>
      <c r="F2230" s="5"/>
      <c r="G2230" s="5"/>
      <c r="H2230" s="5"/>
      <c r="I2230" s="5"/>
      <c r="J2230" s="5"/>
      <c r="K2230" s="5"/>
      <c r="L2230" s="5"/>
      <c r="M2230" s="5"/>
      <c r="N2230" s="5"/>
      <c r="O2230" s="5"/>
      <c r="P2230" s="5"/>
      <c r="Q2230" s="5"/>
      <c r="R2230" s="5"/>
      <c r="S2230" s="5"/>
      <c r="T2230" s="5"/>
      <c r="U2230" s="5"/>
      <c r="V2230" s="5"/>
      <c r="W2230" s="5"/>
      <c r="X2230" s="5"/>
      <c r="Y2230" s="5"/>
      <c r="Z2230" s="5"/>
    </row>
    <row r="2231" spans="1:26" ht="15.6" x14ac:dyDescent="0.3">
      <c r="A2231" s="18" t="s">
        <v>3</v>
      </c>
      <c r="B2231" s="25" t="s">
        <v>2226</v>
      </c>
      <c r="C2231" s="2" t="str">
        <f ca="1">IFERROR(__xludf.DUMMYFUNCTION("GOOGLETRANSLATE(B2231, ""bn"", ""en"")"),"For Muslims, Mecca and Medina are religious places of pilgrimage in Arabia. At the same time, Jerusalem is also considered a holy city.")</f>
        <v>For Muslims, Mecca and Medina are religious places of pilgrimage in Arabia. At the same time, Jerusalem is also considered a holy city.</v>
      </c>
      <c r="D2231" s="5"/>
      <c r="E2231" s="5"/>
      <c r="F2231" s="5"/>
      <c r="G2231" s="5"/>
      <c r="H2231" s="5"/>
      <c r="I2231" s="5"/>
      <c r="J2231" s="5"/>
      <c r="K2231" s="5"/>
      <c r="L2231" s="5"/>
      <c r="M2231" s="5"/>
      <c r="N2231" s="5"/>
      <c r="O2231" s="5"/>
      <c r="P2231" s="5"/>
      <c r="Q2231" s="5"/>
      <c r="R2231" s="5"/>
      <c r="S2231" s="5"/>
      <c r="T2231" s="5"/>
      <c r="U2231" s="5"/>
      <c r="V2231" s="5"/>
      <c r="W2231" s="5"/>
      <c r="X2231" s="5"/>
      <c r="Y2231" s="5"/>
      <c r="Z2231" s="5"/>
    </row>
    <row r="2232" spans="1:26" ht="15.6" x14ac:dyDescent="0.3">
      <c r="A2232" s="19" t="s">
        <v>3</v>
      </c>
      <c r="B2232" s="26" t="s">
        <v>2227</v>
      </c>
      <c r="C2232" s="2" t="str">
        <f ca="1">IFERROR(__xludf.DUMMYFUNCTION("GOOGLETRANSLATE(B2232, ""bn"", ""en"")"),"Eighty-three years ago, the Hindu Widows' Property Act of 1937 gave only widows rights to the husband's estate. Now, in the context of a High Court judgment, Hindu widows will be entitled to all the property of their husbands. Very relevantly, the issue o"&amp;"f Hindu women securing their right to her father's property also came up in the discussion.")</f>
        <v>Eighty-three years ago, the Hindu Widows' Property Act of 1937 gave only widows rights to the husband's estate. Now, in the context of a High Court judgment, Hindu widows will be entitled to all the property of their husbands. Very relevantly, the issue of Hindu women securing their right to her father's property also came up in the discussion.</v>
      </c>
      <c r="D2232" s="7"/>
      <c r="E2232" s="7"/>
      <c r="F2232" s="7"/>
      <c r="G2232" s="7"/>
      <c r="H2232" s="7"/>
      <c r="I2232" s="7"/>
      <c r="J2232" s="7"/>
      <c r="K2232" s="7"/>
      <c r="L2232" s="7"/>
      <c r="M2232" s="7"/>
      <c r="N2232" s="7"/>
      <c r="O2232" s="7"/>
      <c r="P2232" s="5"/>
      <c r="Q2232" s="5"/>
      <c r="R2232" s="5"/>
      <c r="S2232" s="5"/>
      <c r="T2232" s="5"/>
      <c r="U2232" s="5"/>
      <c r="V2232" s="5"/>
      <c r="W2232" s="5"/>
      <c r="X2232" s="5"/>
      <c r="Y2232" s="5"/>
      <c r="Z2232" s="5"/>
    </row>
    <row r="2233" spans="1:26" ht="15.6" x14ac:dyDescent="0.3">
      <c r="A2233" s="18" t="s">
        <v>5</v>
      </c>
      <c r="B2233" s="24" t="s">
        <v>2228</v>
      </c>
      <c r="C2233" s="2" t="str">
        <f ca="1">IFERROR(__xludf.DUMMYFUNCTION("GOOGLETRANSLATE(B2233, ""bn"", ""en"")"),"A blogger was publicly hacked to death for expressing religious dissent; 15 people lost their lives in the protest.")</f>
        <v>A blogger was publicly hacked to death for expressing religious dissent; 15 people lost their lives in the protest.</v>
      </c>
      <c r="D2233" s="5"/>
      <c r="E2233" s="5"/>
      <c r="F2233" s="5"/>
      <c r="G2233" s="5"/>
      <c r="H2233" s="5"/>
      <c r="I2233" s="5"/>
      <c r="J2233" s="5"/>
      <c r="K2233" s="5"/>
      <c r="L2233" s="5"/>
      <c r="M2233" s="5"/>
      <c r="N2233" s="5"/>
      <c r="O2233" s="5"/>
      <c r="P2233" s="5"/>
      <c r="Q2233" s="5"/>
      <c r="R2233" s="5"/>
      <c r="S2233" s="5"/>
      <c r="T2233" s="5"/>
      <c r="U2233" s="5"/>
      <c r="V2233" s="5"/>
      <c r="W2233" s="5"/>
      <c r="X2233" s="5"/>
      <c r="Y2233" s="5"/>
      <c r="Z2233" s="5"/>
    </row>
    <row r="2234" spans="1:26" ht="15.6" x14ac:dyDescent="0.3">
      <c r="A2234" s="18" t="s">
        <v>3</v>
      </c>
      <c r="B2234" s="24" t="s">
        <v>2229</v>
      </c>
      <c r="C2234" s="2" t="str">
        <f ca="1">IFERROR(__xludf.DUMMYFUNCTION("GOOGLETRANSLATE(B2234, ""bn"", ""en"")"),"Whenever faced with evil, the mind finds peace by reading religious books or listening to sermons.")</f>
        <v>Whenever faced with evil, the mind finds peace by reading religious books or listening to sermons.</v>
      </c>
      <c r="D2234" s="5"/>
      <c r="E2234" s="5"/>
      <c r="F2234" s="5"/>
      <c r="G2234" s="5"/>
      <c r="H2234" s="5"/>
      <c r="I2234" s="5"/>
      <c r="J2234" s="5"/>
      <c r="K2234" s="5"/>
      <c r="L2234" s="5"/>
      <c r="M2234" s="5"/>
      <c r="N2234" s="5"/>
      <c r="O2234" s="5"/>
      <c r="P2234" s="5"/>
      <c r="Q2234" s="5"/>
      <c r="R2234" s="5"/>
      <c r="S2234" s="5"/>
      <c r="T2234" s="5"/>
      <c r="U2234" s="5"/>
      <c r="V2234" s="5"/>
      <c r="W2234" s="5"/>
      <c r="X2234" s="5"/>
      <c r="Y2234" s="5"/>
      <c r="Z2234" s="5"/>
    </row>
    <row r="2235" spans="1:26" ht="15.6" x14ac:dyDescent="0.3">
      <c r="A2235" s="18" t="s">
        <v>5</v>
      </c>
      <c r="B2235" s="24" t="s">
        <v>2230</v>
      </c>
      <c r="C2235" s="2" t="str">
        <f ca="1">IFERROR(__xludf.DUMMYFUNCTION("GOOGLETRANSLATE(B2235, ""bn"", ""en"")"),"At least 39 people were killed in religious riots in Kushtia in an attack on a minority community.")</f>
        <v>At least 39 people were killed in religious riots in Kushtia in an attack on a minority community.</v>
      </c>
      <c r="D2235" s="5"/>
      <c r="E2235" s="5"/>
      <c r="F2235" s="5"/>
      <c r="G2235" s="5"/>
      <c r="H2235" s="5"/>
      <c r="I2235" s="5"/>
      <c r="J2235" s="5"/>
      <c r="K2235" s="5"/>
      <c r="L2235" s="5"/>
      <c r="M2235" s="5"/>
      <c r="N2235" s="5"/>
      <c r="O2235" s="5"/>
      <c r="P2235" s="5"/>
      <c r="Q2235" s="5"/>
      <c r="R2235" s="5"/>
      <c r="S2235" s="5"/>
      <c r="T2235" s="5"/>
      <c r="U2235" s="5"/>
      <c r="V2235" s="5"/>
      <c r="W2235" s="5"/>
      <c r="X2235" s="5"/>
      <c r="Y2235" s="5"/>
      <c r="Z2235" s="5"/>
    </row>
    <row r="2236" spans="1:26" ht="15.6" x14ac:dyDescent="0.3">
      <c r="A2236" s="18" t="s">
        <v>8</v>
      </c>
      <c r="B2236" s="25" t="s">
        <v>2231</v>
      </c>
      <c r="C2236" s="2" t="str">
        <f ca="1">IFERROR(__xludf.DUMMYFUNCTION("GOOGLETRANSLATE(B2236, ""bn"", ""en"")"),"This incident of idol vandalism is really sad. We hope that the law and order forces will take necessary steps so that such incidents do not happen in the future. Apart from this, everyone should be alert.")</f>
        <v>This incident of idol vandalism is really sad. We hope that the law and order forces will take necessary steps so that such incidents do not happen in the future. Apart from this, everyone should be alert.</v>
      </c>
      <c r="D2236" s="2"/>
      <c r="E2236" s="2"/>
      <c r="F2236" s="2"/>
      <c r="G2236" s="2"/>
      <c r="H2236" s="5"/>
      <c r="I2236" s="5"/>
      <c r="J2236" s="5"/>
      <c r="K2236" s="5"/>
      <c r="L2236" s="5"/>
      <c r="M2236" s="5"/>
      <c r="N2236" s="5"/>
      <c r="O2236" s="5"/>
      <c r="P2236" s="5"/>
      <c r="Q2236" s="5"/>
      <c r="R2236" s="5"/>
      <c r="S2236" s="5"/>
      <c r="T2236" s="5"/>
      <c r="U2236" s="5"/>
      <c r="V2236" s="5"/>
      <c r="W2236" s="5"/>
      <c r="X2236" s="5"/>
      <c r="Y2236" s="5"/>
      <c r="Z2236" s="5"/>
    </row>
    <row r="2237" spans="1:26" ht="15.6" x14ac:dyDescent="0.3">
      <c r="A2237" s="19" t="s">
        <v>8</v>
      </c>
      <c r="B2237" s="26" t="s">
        <v>2232</v>
      </c>
      <c r="C2237" s="2" t="str">
        <f ca="1">IFERROR(__xludf.DUMMYFUNCTION("GOOGLETRANSLATE(B2237, ""bn"", ""en"")"),"66 families affected by violence in Pirganj; Houses, shops were burnt, temples vandalized and wealth looted against Muslims.")</f>
        <v>66 families affected by violence in Pirganj; Houses, shops were burnt, temples vandalized and wealth looted against Muslims.</v>
      </c>
      <c r="D2237" s="7"/>
      <c r="E2237" s="7"/>
      <c r="F2237" s="7"/>
      <c r="G2237" s="7"/>
      <c r="H2237" s="7"/>
      <c r="I2237" s="5"/>
      <c r="J2237" s="5"/>
      <c r="K2237" s="5"/>
      <c r="L2237" s="5"/>
      <c r="M2237" s="5"/>
      <c r="N2237" s="5"/>
      <c r="O2237" s="5"/>
      <c r="P2237" s="5"/>
      <c r="Q2237" s="5"/>
      <c r="R2237" s="5"/>
      <c r="S2237" s="5"/>
      <c r="T2237" s="5"/>
      <c r="U2237" s="5"/>
      <c r="V2237" s="5"/>
      <c r="W2237" s="5"/>
      <c r="X2237" s="5"/>
      <c r="Y2237" s="5"/>
      <c r="Z2237" s="5"/>
    </row>
    <row r="2238" spans="1:26" ht="15.6" x14ac:dyDescent="0.3">
      <c r="A2238" s="19" t="s">
        <v>23</v>
      </c>
      <c r="B2238" s="26" t="s">
        <v>2233</v>
      </c>
      <c r="C2238" s="2" t="str">
        <f ca="1">IFERROR(__xludf.DUMMYFUNCTION("GOOGLETRANSLATE(B2238, ""bn"", ""en"")"),"Shame on some of our nominal Muslims who have forgotten the importance of religion for the party and attacked religious brothers!")</f>
        <v>Shame on some of our nominal Muslims who have forgotten the importance of religion for the party and attacked religious brothers!</v>
      </c>
      <c r="D2238" s="7"/>
      <c r="E2238" s="7"/>
      <c r="F2238" s="7"/>
      <c r="G2238" s="7"/>
      <c r="H2238" s="7"/>
      <c r="I2238" s="7"/>
      <c r="J2238" s="7"/>
      <c r="K2238" s="7"/>
      <c r="L2238" s="5"/>
      <c r="M2238" s="5"/>
      <c r="N2238" s="5"/>
      <c r="O2238" s="5"/>
      <c r="P2238" s="5"/>
      <c r="Q2238" s="5"/>
      <c r="R2238" s="5"/>
      <c r="S2238" s="5"/>
      <c r="T2238" s="5"/>
      <c r="U2238" s="5"/>
      <c r="V2238" s="5"/>
      <c r="W2238" s="5"/>
      <c r="X2238" s="5"/>
      <c r="Y2238" s="5"/>
      <c r="Z2238" s="5"/>
    </row>
    <row r="2239" spans="1:26" ht="15.6" x14ac:dyDescent="0.3">
      <c r="A2239" s="18" t="s">
        <v>23</v>
      </c>
      <c r="B2239" s="24" t="s">
        <v>2234</v>
      </c>
      <c r="C2239" s="2" t="str">
        <f ca="1">IFERROR(__xludf.DUMMYFUNCTION("GOOGLETRANSLATE(B2239, ""bn"", ""en"")"),"Some sections of the Hindu community show religious bigotry and look down on other religions which can lead to communal riots.")</f>
        <v>Some sections of the Hindu community show religious bigotry and look down on other religions which can lead to communal riots.</v>
      </c>
      <c r="D2239" s="5"/>
      <c r="E2239" s="5"/>
      <c r="F2239" s="5"/>
      <c r="G2239" s="5"/>
      <c r="H2239" s="5"/>
      <c r="I2239" s="5"/>
      <c r="J2239" s="5"/>
      <c r="K2239" s="5"/>
      <c r="L2239" s="5"/>
      <c r="M2239" s="5"/>
      <c r="N2239" s="5"/>
      <c r="O2239" s="5"/>
      <c r="P2239" s="5"/>
      <c r="Q2239" s="5"/>
      <c r="R2239" s="5"/>
      <c r="S2239" s="5"/>
      <c r="T2239" s="5"/>
      <c r="U2239" s="5"/>
      <c r="V2239" s="5"/>
      <c r="W2239" s="5"/>
      <c r="X2239" s="5"/>
      <c r="Y2239" s="5"/>
      <c r="Z2239" s="5"/>
    </row>
    <row r="2240" spans="1:26" ht="15.6" x14ac:dyDescent="0.3">
      <c r="A2240" s="18" t="s">
        <v>23</v>
      </c>
      <c r="B2240" s="25" t="s">
        <v>2235</v>
      </c>
      <c r="C2240" s="2" t="str">
        <f ca="1">IFERROR(__xludf.DUMMYFUNCTION("GOOGLETRANSLATE(B2240, ""bn"", ""en"")"),"I never argue with a stupid Hindu, I don't know how much knowledge he has if his language is not correct.")</f>
        <v>I never argue with a stupid Hindu, I don't know how much knowledge he has if his language is not correct.</v>
      </c>
      <c r="D2240" s="5"/>
      <c r="E2240" s="5"/>
      <c r="F2240" s="5"/>
      <c r="G2240" s="5"/>
      <c r="H2240" s="5"/>
      <c r="I2240" s="5"/>
      <c r="J2240" s="5"/>
      <c r="K2240" s="5"/>
      <c r="L2240" s="5"/>
      <c r="M2240" s="5"/>
      <c r="N2240" s="5"/>
      <c r="O2240" s="5"/>
      <c r="P2240" s="5"/>
      <c r="Q2240" s="5"/>
      <c r="R2240" s="5"/>
      <c r="S2240" s="5"/>
      <c r="T2240" s="5"/>
      <c r="U2240" s="5"/>
      <c r="V2240" s="5"/>
      <c r="W2240" s="5"/>
      <c r="X2240" s="5"/>
      <c r="Y2240" s="5"/>
      <c r="Z2240" s="5"/>
    </row>
    <row r="2241" spans="1:26" ht="15.6" x14ac:dyDescent="0.3">
      <c r="A2241" s="18" t="s">
        <v>3</v>
      </c>
      <c r="B2241" s="25" t="s">
        <v>2236</v>
      </c>
      <c r="C2241" s="2" t="str">
        <f ca="1">IFERROR(__xludf.DUMMYFUNCTION("GOOGLETRANSLATE(B2241, ""bn"", ""en"")"),"Masjid was legally built on mosque land, no communal discrimination observed here. Inshallah it will happen again.")</f>
        <v>Masjid was legally built on mosque land, no communal discrimination observed here. Inshallah it will happen again.</v>
      </c>
      <c r="D2241" s="2"/>
      <c r="E2241" s="2"/>
      <c r="F2241" s="2"/>
      <c r="G2241" s="2"/>
      <c r="H2241" s="5"/>
      <c r="I2241" s="5"/>
      <c r="J2241" s="5"/>
      <c r="K2241" s="5"/>
      <c r="L2241" s="5"/>
      <c r="M2241" s="5"/>
      <c r="N2241" s="5"/>
      <c r="O2241" s="5"/>
      <c r="P2241" s="5"/>
      <c r="Q2241" s="5"/>
      <c r="R2241" s="5"/>
      <c r="S2241" s="5"/>
      <c r="T2241" s="5"/>
      <c r="U2241" s="5"/>
      <c r="V2241" s="5"/>
      <c r="W2241" s="5"/>
      <c r="X2241" s="5"/>
      <c r="Y2241" s="5"/>
      <c r="Z2241" s="5"/>
    </row>
    <row r="2242" spans="1:26" ht="15.6" x14ac:dyDescent="0.3">
      <c r="A2242" s="19" t="s">
        <v>3</v>
      </c>
      <c r="B2242" s="26" t="s">
        <v>2237</v>
      </c>
      <c r="C2242" s="2" t="str">
        <f ca="1">IFERROR(__xludf.DUMMYFUNCTION("GOOGLETRANSLATE(B2242, ""bn"", ""en"")"),"The teachings and precepts of religion guide people to the right path. It helps him to take right decisions in life, which leads him forward in life.")</f>
        <v>The teachings and precepts of religion guide people to the right path. It helps him to take right decisions in life, which leads him forward in life.</v>
      </c>
      <c r="D2242" s="5"/>
      <c r="E2242" s="5"/>
      <c r="F2242" s="5"/>
      <c r="G2242" s="5"/>
      <c r="H2242" s="5"/>
      <c r="I2242" s="5"/>
      <c r="J2242" s="5"/>
      <c r="K2242" s="5"/>
      <c r="L2242" s="5"/>
      <c r="M2242" s="5"/>
      <c r="N2242" s="5"/>
      <c r="O2242" s="5"/>
      <c r="P2242" s="5"/>
      <c r="Q2242" s="5"/>
      <c r="R2242" s="5"/>
      <c r="S2242" s="5"/>
      <c r="T2242" s="5"/>
      <c r="U2242" s="5"/>
      <c r="V2242" s="5"/>
      <c r="W2242" s="5"/>
      <c r="X2242" s="5"/>
      <c r="Y2242" s="5"/>
      <c r="Z2242" s="5"/>
    </row>
    <row r="2243" spans="1:26" ht="15.6" x14ac:dyDescent="0.3">
      <c r="A2243" s="19" t="s">
        <v>3</v>
      </c>
      <c r="B2243" s="26" t="s">
        <v>2238</v>
      </c>
      <c r="C2243" s="2" t="str">
        <f ca="1">IFERROR(__xludf.DUMMYFUNCTION("GOOGLETRANSLATE(B2243, ""bn"", ""en"")"),"As a child, we all played together, went to school and celebrated Eid and Puja as a social and not a religious festival. I used to eat shirni in the mosque and prasad in the temple.")</f>
        <v>As a child, we all played together, went to school and celebrated Eid and Puja as a social and not a religious festival. I used to eat shirni in the mosque and prasad in the temple.</v>
      </c>
      <c r="D2243" s="7"/>
      <c r="E2243" s="7"/>
      <c r="F2243" s="7"/>
      <c r="G2243" s="7"/>
      <c r="H2243" s="7"/>
      <c r="I2243" s="7"/>
      <c r="J2243" s="7"/>
      <c r="K2243" s="7"/>
      <c r="L2243" s="5"/>
      <c r="M2243" s="5"/>
      <c r="N2243" s="5"/>
      <c r="O2243" s="5"/>
      <c r="P2243" s="5"/>
      <c r="Q2243" s="5"/>
      <c r="R2243" s="5"/>
      <c r="S2243" s="5"/>
      <c r="T2243" s="5"/>
      <c r="U2243" s="5"/>
      <c r="V2243" s="5"/>
      <c r="W2243" s="5"/>
      <c r="X2243" s="5"/>
      <c r="Y2243" s="5"/>
      <c r="Z2243" s="5"/>
    </row>
    <row r="2244" spans="1:26" ht="15.6" x14ac:dyDescent="0.3">
      <c r="A2244" s="19" t="s">
        <v>3</v>
      </c>
      <c r="B2244" s="26" t="s">
        <v>2239</v>
      </c>
      <c r="C2244" s="2" t="str">
        <f ca="1">IFERROR(__xludf.DUMMYFUNCTION("GOOGLETRANSLATE(B2244, ""bn"", ""en"")"),"Water is drunk from the well here. The army then advanced through the plains of Farsh Milal. The Muslims then crossed the small hilly region of Yamama and reached Ushaira through the plains of Yanbu.[3][4] They planned to march there.")</f>
        <v>Water is drunk from the well here. The army then advanced through the plains of Farsh Milal. The Muslims then crossed the small hilly region of Yamama and reached Ushaira through the plains of Yanbu.[3][4] They planned to march there.</v>
      </c>
      <c r="D2244" s="7"/>
      <c r="E2244" s="5"/>
      <c r="F2244" s="5"/>
      <c r="G2244" s="5"/>
      <c r="H2244" s="5"/>
      <c r="I2244" s="5"/>
      <c r="J2244" s="5"/>
      <c r="K2244" s="5"/>
      <c r="L2244" s="5"/>
      <c r="M2244" s="5"/>
      <c r="N2244" s="5"/>
      <c r="O2244" s="5"/>
      <c r="P2244" s="5"/>
      <c r="Q2244" s="5"/>
      <c r="R2244" s="5"/>
      <c r="S2244" s="5"/>
      <c r="T2244" s="5"/>
      <c r="U2244" s="5"/>
      <c r="V2244" s="5"/>
      <c r="W2244" s="5"/>
      <c r="X2244" s="5"/>
      <c r="Y2244" s="5"/>
      <c r="Z2244" s="5"/>
    </row>
    <row r="2245" spans="1:26" ht="15.6" x14ac:dyDescent="0.3">
      <c r="A2245" s="19" t="s">
        <v>23</v>
      </c>
      <c r="B2245" s="26" t="s">
        <v>2240</v>
      </c>
      <c r="C2245" s="2" t="str">
        <f ca="1">IFERROR(__xludf.DUMMYFUNCTION("GOOGLETRANSLATE(B2245, ""bn"", ""en"")"),"Buddhists used to be Nedra to practice their religion and hence they were sarcastically called 'Nede'. When these Buddhists converted to Islam, the converted Buddhists as well as Muslims were called 'Nede'.")</f>
        <v>Buddhists used to be Nedra to practice their religion and hence they were sarcastically called 'Nede'. When these Buddhists converted to Islam, the converted Buddhists as well as Muslims were called 'Nede'.</v>
      </c>
      <c r="D2245" s="5"/>
      <c r="E2245" s="5"/>
      <c r="F2245" s="5"/>
      <c r="G2245" s="5"/>
      <c r="H2245" s="5"/>
      <c r="I2245" s="5"/>
      <c r="J2245" s="5"/>
      <c r="K2245" s="5"/>
      <c r="L2245" s="5"/>
      <c r="M2245" s="5"/>
      <c r="N2245" s="5"/>
      <c r="O2245" s="5"/>
      <c r="P2245" s="5"/>
      <c r="Q2245" s="5"/>
      <c r="R2245" s="5"/>
      <c r="S2245" s="5"/>
      <c r="T2245" s="5"/>
      <c r="U2245" s="5"/>
      <c r="V2245" s="5"/>
      <c r="W2245" s="5"/>
      <c r="X2245" s="5"/>
      <c r="Y2245" s="5"/>
      <c r="Z2245" s="5"/>
    </row>
    <row r="2246" spans="1:26" ht="15.6" x14ac:dyDescent="0.3">
      <c r="A2246" s="19" t="s">
        <v>3</v>
      </c>
      <c r="B2246" s="26" t="s">
        <v>2241</v>
      </c>
      <c r="C2246" s="2" t="str">
        <f ca="1">IFERROR(__xludf.DUMMYFUNCTION("GOOGLETRANSLATE(B2246, ""bn"", ""en"")"),"Adherence to religious precepts strengthens faith and makes it possible to succeed in the trials of life.")</f>
        <v>Adherence to religious precepts strengthens faith and makes it possible to succeed in the trials of life.</v>
      </c>
      <c r="D2246" s="7"/>
      <c r="E2246" s="7"/>
      <c r="F2246" s="5"/>
      <c r="G2246" s="5"/>
      <c r="H2246" s="5"/>
      <c r="I2246" s="5"/>
      <c r="J2246" s="5"/>
      <c r="K2246" s="5"/>
      <c r="L2246" s="5"/>
      <c r="M2246" s="5"/>
      <c r="N2246" s="5"/>
      <c r="O2246" s="5"/>
      <c r="P2246" s="5"/>
      <c r="Q2246" s="5"/>
      <c r="R2246" s="5"/>
      <c r="S2246" s="5"/>
      <c r="T2246" s="5"/>
      <c r="U2246" s="5"/>
      <c r="V2246" s="5"/>
      <c r="W2246" s="5"/>
      <c r="X2246" s="5"/>
      <c r="Y2246" s="5"/>
      <c r="Z2246" s="5"/>
    </row>
    <row r="2247" spans="1:26" ht="15.6" x14ac:dyDescent="0.3">
      <c r="A2247" s="18" t="s">
        <v>5</v>
      </c>
      <c r="B2247" s="24" t="s">
        <v>2242</v>
      </c>
      <c r="C2247" s="2" t="str">
        <f ca="1">IFERROR(__xludf.DUMMYFUNCTION("GOOGLETRANSLATE(B2247, ""bn"", ""en"")"),"Attacking a temple during prayers and killing scores of women and children, the attackers claim justification in the name of religion; 44 people were killed.")</f>
        <v>Attacking a temple during prayers and killing scores of women and children, the attackers claim justification in the name of religion; 44 people were killed.</v>
      </c>
      <c r="D2247" s="5"/>
      <c r="E2247" s="5"/>
      <c r="F2247" s="5"/>
      <c r="G2247" s="5"/>
      <c r="H2247" s="5"/>
      <c r="I2247" s="5"/>
      <c r="J2247" s="5"/>
      <c r="K2247" s="5"/>
      <c r="L2247" s="5"/>
      <c r="M2247" s="5"/>
      <c r="N2247" s="5"/>
      <c r="O2247" s="5"/>
      <c r="P2247" s="5"/>
      <c r="Q2247" s="5"/>
      <c r="R2247" s="5"/>
      <c r="S2247" s="5"/>
      <c r="T2247" s="5"/>
      <c r="U2247" s="5"/>
      <c r="V2247" s="5"/>
      <c r="W2247" s="5"/>
      <c r="X2247" s="5"/>
      <c r="Y2247" s="5"/>
      <c r="Z2247" s="5"/>
    </row>
    <row r="2248" spans="1:26" ht="15.6" x14ac:dyDescent="0.3">
      <c r="A2248" s="18" t="s">
        <v>3</v>
      </c>
      <c r="B2248" s="24" t="s">
        <v>2243</v>
      </c>
      <c r="C2248" s="2" t="str">
        <f ca="1">IFERROR(__xludf.DUMMYFUNCTION("GOOGLETRANSLATE(B2248, ""bn"", ""en"")"),"In Hindu philosophy 'Ahimsa Param Dharma' is considered. It means wishing the well-being of all living beings without holding grudges against anyone.")</f>
        <v>In Hindu philosophy 'Ahimsa Param Dharma' is considered. It means wishing the well-being of all living beings without holding grudges against anyone.</v>
      </c>
      <c r="D2248" s="5"/>
      <c r="E2248" s="5"/>
      <c r="F2248" s="5"/>
      <c r="G2248" s="5"/>
      <c r="H2248" s="5"/>
      <c r="I2248" s="5"/>
      <c r="J2248" s="5"/>
      <c r="K2248" s="5"/>
      <c r="L2248" s="5"/>
      <c r="M2248" s="5"/>
      <c r="N2248" s="5"/>
      <c r="O2248" s="5"/>
      <c r="P2248" s="5"/>
      <c r="Q2248" s="5"/>
      <c r="R2248" s="5"/>
      <c r="S2248" s="5"/>
      <c r="T2248" s="5"/>
      <c r="U2248" s="5"/>
      <c r="V2248" s="5"/>
      <c r="W2248" s="5"/>
      <c r="X2248" s="5"/>
      <c r="Y2248" s="5"/>
      <c r="Z2248" s="5"/>
    </row>
    <row r="2249" spans="1:26" ht="15.6" x14ac:dyDescent="0.3">
      <c r="A2249" s="18" t="s">
        <v>3</v>
      </c>
      <c r="B2249" s="25" t="s">
        <v>2244</v>
      </c>
      <c r="C2249" s="2" t="str">
        <f ca="1">IFERROR(__xludf.DUMMYFUNCTION("GOOGLETRANSLATE(B2249, ""bn"", ""en"")"),"Posting a religious post on Facebook does not mean declaring yourself strictly religious. To spread the message of Sanatan Dharma among all.")</f>
        <v>Posting a religious post on Facebook does not mean declaring yourself strictly religious. To spread the message of Sanatan Dharma among all.</v>
      </c>
      <c r="D2249" s="5"/>
      <c r="E2249" s="5"/>
      <c r="F2249" s="5"/>
      <c r="G2249" s="5"/>
      <c r="H2249" s="5"/>
      <c r="I2249" s="5"/>
      <c r="J2249" s="5"/>
      <c r="K2249" s="5"/>
      <c r="L2249" s="5"/>
      <c r="M2249" s="5"/>
      <c r="N2249" s="5"/>
      <c r="O2249" s="5"/>
      <c r="P2249" s="5"/>
      <c r="Q2249" s="5"/>
      <c r="R2249" s="5"/>
      <c r="S2249" s="5"/>
      <c r="T2249" s="5"/>
      <c r="U2249" s="5"/>
      <c r="V2249" s="5"/>
      <c r="W2249" s="5"/>
      <c r="X2249" s="5"/>
      <c r="Y2249" s="5"/>
      <c r="Z2249" s="5"/>
    </row>
    <row r="2250" spans="1:26" ht="15.6" x14ac:dyDescent="0.3">
      <c r="A2250" s="18" t="s">
        <v>3</v>
      </c>
      <c r="B2250" s="25" t="s">
        <v>2245</v>
      </c>
      <c r="C2250" s="2" t="str">
        <f ca="1">IFERROR(__xludf.DUMMYFUNCTION("GOOGLETRANSLATE(B2250, ""bn"", ""en"")"),"""He wholeheartedly vowed to follow the path of Islam and voluntarily gave up his guitar to strengthen his faith.")</f>
        <v>"He wholeheartedly vowed to follow the path of Islam and voluntarily gave up his guitar to strengthen his faith.</v>
      </c>
      <c r="D2250" s="5"/>
      <c r="E2250" s="5"/>
      <c r="F2250" s="5"/>
      <c r="G2250" s="5"/>
      <c r="H2250" s="5"/>
      <c r="I2250" s="5"/>
      <c r="J2250" s="5"/>
      <c r="K2250" s="5"/>
      <c r="L2250" s="5"/>
      <c r="M2250" s="5"/>
      <c r="N2250" s="5"/>
      <c r="O2250" s="5"/>
      <c r="P2250" s="5"/>
      <c r="Q2250" s="5"/>
      <c r="R2250" s="5"/>
      <c r="S2250" s="5"/>
      <c r="T2250" s="5"/>
      <c r="U2250" s="5"/>
      <c r="V2250" s="5"/>
      <c r="W2250" s="5"/>
      <c r="X2250" s="5"/>
      <c r="Y2250" s="5"/>
      <c r="Z2250" s="5"/>
    </row>
    <row r="2251" spans="1:26" ht="15.6" x14ac:dyDescent="0.3">
      <c r="A2251" s="19" t="s">
        <v>8</v>
      </c>
      <c r="B2251" s="26" t="s">
        <v>2246</v>
      </c>
      <c r="C2251" s="2" t="str">
        <f ca="1">IFERROR(__xludf.DUMMYFUNCTION("GOOGLETRANSLATE(B2251, ""bn"", ""en"")"),"During a religious ceremony in Chittagong's Patia, a group of miscreants broke into the religious hall of the minority community and vandalized the sound system and furniture.")</f>
        <v>During a religious ceremony in Chittagong's Patia, a group of miscreants broke into the religious hall of the minority community and vandalized the sound system and furniture.</v>
      </c>
      <c r="D2251" s="5"/>
      <c r="E2251" s="5"/>
      <c r="F2251" s="5"/>
      <c r="G2251" s="5"/>
      <c r="H2251" s="5"/>
      <c r="I2251" s="5"/>
      <c r="J2251" s="5"/>
      <c r="K2251" s="5"/>
      <c r="L2251" s="5"/>
      <c r="M2251" s="5"/>
      <c r="N2251" s="5"/>
      <c r="O2251" s="5"/>
      <c r="P2251" s="5"/>
      <c r="Q2251" s="5"/>
      <c r="R2251" s="5"/>
      <c r="S2251" s="5"/>
      <c r="T2251" s="5"/>
      <c r="U2251" s="5"/>
      <c r="V2251" s="5"/>
      <c r="W2251" s="5"/>
      <c r="X2251" s="5"/>
      <c r="Y2251" s="5"/>
      <c r="Z2251" s="5"/>
    </row>
    <row r="2252" spans="1:26" ht="15.6" x14ac:dyDescent="0.3">
      <c r="A2252" s="18" t="s">
        <v>5</v>
      </c>
      <c r="B2252" s="24" t="s">
        <v>2247</v>
      </c>
      <c r="C2252" s="2" t="str">
        <f ca="1">IFERROR(__xludf.DUMMYFUNCTION("GOOGLETRANSLATE(B2252, ""bn"", ""en"")"),"A Hindu student posted the wrong picture on Facebook, attacked his temple and home, and his family escaped unharmed, but the post was later found to be fake. Total killed: 9 people.")</f>
        <v>A Hindu student posted the wrong picture on Facebook, attacked his temple and home, and his family escaped unharmed, but the post was later found to be fake. Total killed: 9 people.</v>
      </c>
      <c r="D2252" s="5"/>
      <c r="E2252" s="5"/>
      <c r="F2252" s="5"/>
      <c r="G2252" s="5"/>
      <c r="H2252" s="5"/>
      <c r="I2252" s="5"/>
      <c r="J2252" s="5"/>
      <c r="K2252" s="5"/>
      <c r="L2252" s="5"/>
      <c r="M2252" s="5"/>
      <c r="N2252" s="5"/>
      <c r="O2252" s="5"/>
      <c r="P2252" s="5"/>
      <c r="Q2252" s="5"/>
      <c r="R2252" s="5"/>
      <c r="S2252" s="5"/>
      <c r="T2252" s="5"/>
      <c r="U2252" s="5"/>
      <c r="V2252" s="5"/>
      <c r="W2252" s="5"/>
      <c r="X2252" s="5"/>
      <c r="Y2252" s="5"/>
      <c r="Z2252" s="5"/>
    </row>
    <row r="2253" spans="1:26" ht="15.6" x14ac:dyDescent="0.3">
      <c r="A2253" s="19" t="s">
        <v>3</v>
      </c>
      <c r="B2253" s="26" t="s">
        <v>2248</v>
      </c>
      <c r="C2253" s="2" t="str">
        <f ca="1">IFERROR(__xludf.DUMMYFUNCTION("GOOGLETRANSLATE(B2253, ""bn"", ""en"")"),"If Almighty Allah forgives me, bestows His immense grace, then surely I want to be in Paradise with my beloved Amma, in His love. (Rabbi's Hamhuma Kama Rabbayani Sagira).")</f>
        <v>If Almighty Allah forgives me, bestows His immense grace, then surely I want to be in Paradise with my beloved Amma, in His love. (Rabbi's Hamhuma Kama Rabbayani Sagira).</v>
      </c>
      <c r="D2253" s="5"/>
      <c r="E2253" s="5"/>
      <c r="F2253" s="5"/>
      <c r="G2253" s="5"/>
      <c r="H2253" s="5"/>
      <c r="I2253" s="5"/>
      <c r="J2253" s="5"/>
      <c r="K2253" s="5"/>
      <c r="L2253" s="5"/>
      <c r="M2253" s="5"/>
      <c r="N2253" s="5"/>
      <c r="O2253" s="5"/>
      <c r="P2253" s="5"/>
      <c r="Q2253" s="5"/>
      <c r="R2253" s="5"/>
      <c r="S2253" s="5"/>
      <c r="T2253" s="5"/>
      <c r="U2253" s="5"/>
      <c r="V2253" s="5"/>
      <c r="W2253" s="5"/>
      <c r="X2253" s="5"/>
      <c r="Y2253" s="5"/>
      <c r="Z2253" s="5"/>
    </row>
    <row r="2254" spans="1:26" ht="15.6" x14ac:dyDescent="0.3">
      <c r="A2254" s="19" t="s">
        <v>8</v>
      </c>
      <c r="B2254" s="26" t="s">
        <v>2249</v>
      </c>
      <c r="C2254" s="2" t="str">
        <f ca="1">IFERROR(__xludf.DUMMYFUNCTION("GOOGLETRANSLATE(B2254, ""bn"", ""en"")"),"In Shariatpur, there was a fight between the two sides over the change of imam, after which the rival vandalized the mosque.")</f>
        <v>In Shariatpur, there was a fight between the two sides over the change of imam, after which the rival vandalized the mosque.</v>
      </c>
      <c r="D2254" s="5"/>
      <c r="E2254" s="5"/>
      <c r="F2254" s="5"/>
      <c r="G2254" s="5"/>
      <c r="H2254" s="5"/>
      <c r="I2254" s="5"/>
      <c r="J2254" s="5"/>
      <c r="K2254" s="5"/>
      <c r="L2254" s="5"/>
      <c r="M2254" s="5"/>
      <c r="N2254" s="5"/>
      <c r="O2254" s="5"/>
      <c r="P2254" s="5"/>
      <c r="Q2254" s="5"/>
      <c r="R2254" s="5"/>
      <c r="S2254" s="5"/>
      <c r="T2254" s="5"/>
      <c r="U2254" s="5"/>
      <c r="V2254" s="5"/>
      <c r="W2254" s="5"/>
      <c r="X2254" s="5"/>
      <c r="Y2254" s="5"/>
      <c r="Z2254" s="5"/>
    </row>
    <row r="2255" spans="1:26" ht="15.6" x14ac:dyDescent="0.3">
      <c r="A2255" s="18" t="s">
        <v>5</v>
      </c>
      <c r="B2255" s="24" t="s">
        <v>2250</v>
      </c>
      <c r="C2255" s="2" t="str">
        <f ca="1">IFERROR(__xludf.DUMMYFUNCTION("GOOGLETRANSLATE(B2255, ""bn"", ""en"")"),"A religious group attacked a children's school, killing 11.")</f>
        <v>A religious group attacked a children's school, killing 11.</v>
      </c>
      <c r="D2255" s="5"/>
      <c r="E2255" s="5"/>
      <c r="F2255" s="5"/>
      <c r="G2255" s="5"/>
      <c r="H2255" s="5"/>
      <c r="I2255" s="5"/>
      <c r="J2255" s="5"/>
      <c r="K2255" s="5"/>
      <c r="L2255" s="5"/>
      <c r="M2255" s="5"/>
      <c r="N2255" s="5"/>
      <c r="O2255" s="5"/>
      <c r="P2255" s="5"/>
      <c r="Q2255" s="5"/>
      <c r="R2255" s="5"/>
      <c r="S2255" s="5"/>
      <c r="T2255" s="5"/>
      <c r="U2255" s="5"/>
      <c r="V2255" s="5"/>
      <c r="W2255" s="5"/>
      <c r="X2255" s="5"/>
      <c r="Y2255" s="5"/>
      <c r="Z2255" s="5"/>
    </row>
    <row r="2256" spans="1:26" ht="15.6" x14ac:dyDescent="0.3">
      <c r="A2256" s="18" t="s">
        <v>23</v>
      </c>
      <c r="B2256" s="25" t="s">
        <v>2251</v>
      </c>
      <c r="C2256" s="2" t="str">
        <f ca="1">IFERROR(__xludf.DUMMYFUNCTION("GOOGLETRANSLATE(B2256, ""bn"", ""en"")"),"Those who want to destroy the harmony by creating disturbance here after a few days should be identified and brought under severe punishment. Muslims believe in peace, those who are trying to create riots by insulting the Quran should be arrested and trie"&amp;"d immediately.")</f>
        <v>Those who want to destroy the harmony by creating disturbance here after a few days should be identified and brought under severe punishment. Muslims believe in peace, those who are trying to create riots by insulting the Quran should be arrested and tried immediately.</v>
      </c>
      <c r="D2256" s="5"/>
      <c r="E2256" s="5"/>
      <c r="F2256" s="5"/>
      <c r="G2256" s="5"/>
      <c r="H2256" s="5"/>
      <c r="I2256" s="5"/>
      <c r="J2256" s="5"/>
      <c r="K2256" s="5"/>
      <c r="L2256" s="5"/>
      <c r="M2256" s="5"/>
      <c r="N2256" s="5"/>
      <c r="O2256" s="5"/>
      <c r="P2256" s="5"/>
      <c r="Q2256" s="5"/>
      <c r="R2256" s="5"/>
      <c r="S2256" s="5"/>
      <c r="T2256" s="5"/>
      <c r="U2256" s="5"/>
      <c r="V2256" s="5"/>
      <c r="W2256" s="5"/>
      <c r="X2256" s="5"/>
      <c r="Y2256" s="5"/>
      <c r="Z2256" s="5"/>
    </row>
    <row r="2257" spans="1:26" ht="15.6" x14ac:dyDescent="0.3">
      <c r="A2257" s="18" t="s">
        <v>23</v>
      </c>
      <c r="B2257" s="25" t="s">
        <v>2252</v>
      </c>
      <c r="C2257" s="2" t="str">
        <f ca="1">IFERROR(__xludf.DUMMYFUNCTION("GOOGLETRANSLATE(B2257, ""bn"", ""en"")"),"If the same offense is committed more than once, the punishment is twice this sentence. Due to the fact that it is very insignificant and insufficient compared to the crime, some people have made various comments and taunts in the past by hurting the reli"&amp;"gious sentiments of the Holy Prophet. Although it is against the Quran, Hadith, Sunnah and the Constitution.")</f>
        <v>If the same offense is committed more than once, the punishment is twice this sentence. Due to the fact that it is very insignificant and insufficient compared to the crime, some people have made various comments and taunts in the past by hurting the religious sentiments of the Holy Prophet. Although it is against the Quran, Hadith, Sunnah and the Constitution.</v>
      </c>
      <c r="D2257" s="5"/>
      <c r="E2257" s="5"/>
      <c r="F2257" s="5"/>
      <c r="G2257" s="5"/>
      <c r="H2257" s="5"/>
      <c r="I2257" s="5"/>
      <c r="J2257" s="5"/>
      <c r="K2257" s="5"/>
      <c r="L2257" s="5"/>
      <c r="M2257" s="5"/>
      <c r="N2257" s="5"/>
      <c r="O2257" s="5"/>
      <c r="P2257" s="5"/>
      <c r="Q2257" s="5"/>
      <c r="R2257" s="5"/>
      <c r="S2257" s="5"/>
      <c r="T2257" s="5"/>
      <c r="U2257" s="5"/>
      <c r="V2257" s="5"/>
      <c r="W2257" s="5"/>
      <c r="X2257" s="5"/>
      <c r="Y2257" s="5"/>
      <c r="Z2257" s="5"/>
    </row>
    <row r="2258" spans="1:26" ht="15.6" x14ac:dyDescent="0.3">
      <c r="A2258" s="19" t="s">
        <v>8</v>
      </c>
      <c r="B2258" s="26" t="s">
        <v>2253</v>
      </c>
      <c r="C2258" s="2" t="str">
        <f ca="1">IFERROR(__xludf.DUMMYFUNCTION("GOOGLETRANSLATE(B2258, ""bn"", ""en"")"),"At the entrance of a church in Thakurgaon, posters reading ""religious lies"" were pasted and miscreants broke the windows of the church in the dark of night.")</f>
        <v>At the entrance of a church in Thakurgaon, posters reading "religious lies" were pasted and miscreants broke the windows of the church in the dark of night.</v>
      </c>
      <c r="D2258" s="5"/>
      <c r="E2258" s="5"/>
      <c r="F2258" s="5"/>
      <c r="G2258" s="5"/>
      <c r="H2258" s="5"/>
      <c r="I2258" s="5"/>
      <c r="J2258" s="5"/>
      <c r="K2258" s="5"/>
      <c r="L2258" s="5"/>
      <c r="M2258" s="5"/>
      <c r="N2258" s="5"/>
      <c r="O2258" s="5"/>
      <c r="P2258" s="5"/>
      <c r="Q2258" s="5"/>
      <c r="R2258" s="5"/>
      <c r="S2258" s="5"/>
      <c r="T2258" s="5"/>
      <c r="U2258" s="5"/>
      <c r="V2258" s="5"/>
      <c r="W2258" s="5"/>
      <c r="X2258" s="5"/>
      <c r="Y2258" s="5"/>
      <c r="Z2258" s="5"/>
    </row>
    <row r="2259" spans="1:26" ht="15.6" x14ac:dyDescent="0.3">
      <c r="A2259" s="19" t="s">
        <v>23</v>
      </c>
      <c r="B2259" s="26" t="s">
        <v>2254</v>
      </c>
      <c r="C2259" s="2" t="str">
        <f ca="1">IFERROR(__xludf.DUMMYFUNCTION("GOOGLETRANSLATE(B2259, ""bn"", ""en"")"),"Threats have been made to throw bombs and blow up the pujamandap if the drums are played.")</f>
        <v>Threats have been made to throw bombs and blow up the pujamandap if the drums are played.</v>
      </c>
      <c r="D2259" s="5"/>
      <c r="E2259" s="5"/>
      <c r="F2259" s="5"/>
      <c r="G2259" s="5"/>
      <c r="H2259" s="5"/>
      <c r="I2259" s="5"/>
      <c r="J2259" s="5"/>
      <c r="K2259" s="5"/>
      <c r="L2259" s="5"/>
      <c r="M2259" s="5"/>
      <c r="N2259" s="5"/>
      <c r="O2259" s="5"/>
      <c r="P2259" s="5"/>
      <c r="Q2259" s="5"/>
      <c r="R2259" s="5"/>
      <c r="S2259" s="5"/>
      <c r="T2259" s="5"/>
      <c r="U2259" s="5"/>
      <c r="V2259" s="5"/>
      <c r="W2259" s="5"/>
      <c r="X2259" s="5"/>
      <c r="Y2259" s="5"/>
      <c r="Z2259" s="5"/>
    </row>
    <row r="2260" spans="1:26" ht="15.6" x14ac:dyDescent="0.3">
      <c r="A2260" s="19" t="s">
        <v>8</v>
      </c>
      <c r="B2260" s="26" t="s">
        <v>2255</v>
      </c>
      <c r="C2260" s="2" t="str">
        <f ca="1">IFERROR(__xludf.DUMMYFUNCTION("GOOGLETRANSLATE(B2260, ""bn"", ""en"")"),"There were riots against the Jamaat and BNP governments and attacks on minorities and the police. Thousands of Hindu houses and temples were destroyed. The attack was criticized nationally and internationally.")</f>
        <v>There were riots against the Jamaat and BNP governments and attacks on minorities and the police. Thousands of Hindu houses and temples were destroyed. The attack was criticized nationally and internationally.</v>
      </c>
      <c r="D2260" s="7"/>
      <c r="E2260" s="7"/>
      <c r="F2260" s="7"/>
      <c r="G2260" s="7"/>
      <c r="H2260" s="7"/>
      <c r="I2260" s="7"/>
      <c r="J2260" s="7"/>
      <c r="K2260" s="7"/>
      <c r="L2260" s="7"/>
      <c r="M2260" s="7"/>
      <c r="N2260" s="7"/>
      <c r="O2260" s="7"/>
      <c r="P2260" s="5"/>
      <c r="Q2260" s="5"/>
      <c r="R2260" s="5"/>
      <c r="S2260" s="5"/>
      <c r="T2260" s="5"/>
      <c r="U2260" s="5"/>
      <c r="V2260" s="5"/>
      <c r="W2260" s="5"/>
      <c r="X2260" s="5"/>
      <c r="Y2260" s="5"/>
      <c r="Z2260" s="5"/>
    </row>
    <row r="2261" spans="1:26" ht="15.6" x14ac:dyDescent="0.3">
      <c r="A2261" s="18" t="s">
        <v>5</v>
      </c>
      <c r="B2261" s="24" t="s">
        <v>2256</v>
      </c>
      <c r="C2261" s="2" t="str">
        <f ca="1">IFERROR(__xludf.DUMMYFUNCTION("GOOGLETRANSLATE(B2261, ""bn"", ""en"")"),"Hindu-Muslim riots in Narail left at least 31 people dead and widespread destruction.")</f>
        <v>Hindu-Muslim riots in Narail left at least 31 people dead and widespread destruction.</v>
      </c>
      <c r="D2261" s="5"/>
      <c r="E2261" s="5"/>
      <c r="F2261" s="5"/>
      <c r="G2261" s="5"/>
      <c r="H2261" s="5"/>
      <c r="I2261" s="5"/>
      <c r="J2261" s="5"/>
      <c r="K2261" s="5"/>
      <c r="L2261" s="5"/>
      <c r="M2261" s="5"/>
      <c r="N2261" s="5"/>
      <c r="O2261" s="5"/>
      <c r="P2261" s="5"/>
      <c r="Q2261" s="5"/>
      <c r="R2261" s="5"/>
      <c r="S2261" s="5"/>
      <c r="T2261" s="5"/>
      <c r="U2261" s="5"/>
      <c r="V2261" s="5"/>
      <c r="W2261" s="5"/>
      <c r="X2261" s="5"/>
      <c r="Y2261" s="5"/>
      <c r="Z2261" s="5"/>
    </row>
    <row r="2262" spans="1:26" ht="15.6" x14ac:dyDescent="0.3">
      <c r="A2262" s="18" t="s">
        <v>5</v>
      </c>
      <c r="B2262" s="25" t="s">
        <v>2257</v>
      </c>
      <c r="C2262" s="2" t="str">
        <f ca="1">IFERROR(__xludf.DUMMYFUNCTION("GOOGLETRANSLATE(B2262, ""bn"", ""en"")"),"They attacked and looted every Hindu house including Ghoshpara, Mudakpara, Baulpara, Paitalpara and set it on fire. 3,500 Hindus were killed, 300 women were raped and 31,000 houses were burnt in Narayanganj. 80,000 Hindus from 151 villages became homeless"&amp;".")</f>
        <v>They attacked and looted every Hindu house including Ghoshpara, Mudakpara, Baulpara, Paitalpara and set it on fire. 3,500 Hindus were killed, 300 women were raped and 31,000 houses were burnt in Narayanganj. 80,000 Hindus from 151 villages became homeless.</v>
      </c>
      <c r="D2262" s="6"/>
      <c r="E2262" s="6"/>
      <c r="F2262" s="6"/>
      <c r="G2262" s="6"/>
      <c r="H2262" s="3"/>
      <c r="I2262" s="3"/>
      <c r="J2262" s="3"/>
      <c r="K2262" s="3"/>
      <c r="L2262" s="3"/>
      <c r="M2262" s="3"/>
      <c r="N2262" s="3"/>
      <c r="O2262" s="3"/>
      <c r="P2262" s="3"/>
      <c r="Q2262" s="3"/>
      <c r="R2262" s="3"/>
      <c r="S2262" s="3"/>
      <c r="T2262" s="3"/>
      <c r="U2262" s="3"/>
      <c r="V2262" s="3"/>
      <c r="W2262" s="3"/>
      <c r="X2262" s="3"/>
      <c r="Y2262" s="3"/>
      <c r="Z2262" s="3"/>
    </row>
    <row r="2263" spans="1:26" ht="15.6" x14ac:dyDescent="0.3">
      <c r="A2263" s="18" t="s">
        <v>23</v>
      </c>
      <c r="B2263" s="25" t="s">
        <v>2258</v>
      </c>
      <c r="C2263" s="2" t="str">
        <f ca="1">IFERROR(__xludf.DUMMYFUNCTION("GOOGLETRANSLATE(B2263, ""bn"", ""en"")"),"Unfortunately, some of the Muslim teachers who have opened the veil in the country are also indulging in such incidents, which are misleading the values ​​and teachings of Islam.")</f>
        <v>Unfortunately, some of the Muslim teachers who have opened the veil in the country are also indulging in such incidents, which are misleading the values ​​and teachings of Islam.</v>
      </c>
      <c r="D2263" s="2"/>
      <c r="E2263" s="2"/>
      <c r="F2263" s="2"/>
      <c r="G2263" s="2"/>
      <c r="H2263" s="3"/>
      <c r="I2263" s="3"/>
      <c r="J2263" s="3"/>
      <c r="K2263" s="3"/>
      <c r="L2263" s="3"/>
      <c r="M2263" s="3"/>
      <c r="N2263" s="3"/>
      <c r="O2263" s="3"/>
      <c r="P2263" s="3"/>
      <c r="Q2263" s="3"/>
      <c r="R2263" s="3"/>
      <c r="S2263" s="3"/>
      <c r="T2263" s="3"/>
      <c r="U2263" s="3"/>
      <c r="V2263" s="3"/>
      <c r="W2263" s="3"/>
      <c r="X2263" s="3"/>
      <c r="Y2263" s="3"/>
      <c r="Z2263" s="3"/>
    </row>
    <row r="2264" spans="1:26" ht="15.6" x14ac:dyDescent="0.3">
      <c r="A2264" s="18" t="s">
        <v>5</v>
      </c>
      <c r="B2264" s="24" t="s">
        <v>2259</v>
      </c>
      <c r="C2264" s="2" t="str">
        <f ca="1">IFERROR(__xludf.DUMMYFUNCTION("GOOGLETRANSLATE(B2264, ""bn"", ""en"")"),"A religious minority group's place of worship was set on fire, killing at least 32 people.")</f>
        <v>A religious minority group's place of worship was set on fire, killing at least 32 people.</v>
      </c>
      <c r="D2264" s="5"/>
      <c r="E2264" s="5"/>
      <c r="F2264" s="5"/>
      <c r="G2264" s="5"/>
      <c r="H2264" s="5"/>
      <c r="I2264" s="5"/>
      <c r="J2264" s="5"/>
      <c r="K2264" s="5"/>
      <c r="L2264" s="5"/>
      <c r="M2264" s="5"/>
      <c r="N2264" s="5"/>
      <c r="O2264" s="5"/>
      <c r="P2264" s="5"/>
      <c r="Q2264" s="5"/>
      <c r="R2264" s="5"/>
      <c r="S2264" s="5"/>
      <c r="T2264" s="5"/>
      <c r="U2264" s="5"/>
      <c r="V2264" s="5"/>
      <c r="W2264" s="5"/>
      <c r="X2264" s="5"/>
      <c r="Y2264" s="5"/>
      <c r="Z2264" s="5"/>
    </row>
    <row r="2265" spans="1:26" ht="15.6" x14ac:dyDescent="0.3">
      <c r="A2265" s="18" t="s">
        <v>8</v>
      </c>
      <c r="B2265" s="25" t="s">
        <v>2260</v>
      </c>
      <c r="C2265" s="2" t="str">
        <f ca="1">IFERROR(__xludf.DUMMYFUNCTION("GOOGLETRANSLATE(B2265, ""bn"", ""en"")"),"Hindu Buddhist Christian Unity Council statistics claim 2010 incidents of communal violence. In a contemporary investigation, 135 out of 296 complaints were found to be true. However, many Hindu families whose names did not appear in the list were persecu"&amp;"ted")</f>
        <v>Hindu Buddhist Christian Unity Council statistics claim 2010 incidents of communal violence. In a contemporary investigation, 135 out of 296 complaints were found to be true. However, many Hindu families whose names did not appear in the list were persecuted</v>
      </c>
      <c r="D2265" s="5"/>
      <c r="E2265" s="5"/>
      <c r="F2265" s="5"/>
      <c r="G2265" s="5"/>
      <c r="H2265" s="5"/>
      <c r="I2265" s="5"/>
      <c r="J2265" s="5"/>
      <c r="K2265" s="5"/>
      <c r="L2265" s="5"/>
      <c r="M2265" s="5"/>
      <c r="N2265" s="5"/>
      <c r="O2265" s="5"/>
      <c r="P2265" s="5"/>
      <c r="Q2265" s="5"/>
      <c r="R2265" s="5"/>
      <c r="S2265" s="5"/>
      <c r="T2265" s="5"/>
      <c r="U2265" s="5"/>
      <c r="V2265" s="5"/>
      <c r="W2265" s="5"/>
      <c r="X2265" s="5"/>
      <c r="Y2265" s="5"/>
      <c r="Z2265" s="5"/>
    </row>
    <row r="2266" spans="1:26" ht="15.6" x14ac:dyDescent="0.3">
      <c r="A2266" s="18" t="s">
        <v>5</v>
      </c>
      <c r="B2266" s="25" t="s">
        <v>2261</v>
      </c>
      <c r="C2266" s="2" t="str">
        <f ca="1">IFERROR(__xludf.DUMMYFUNCTION("GOOGLETRANSLATE(B2266, ""bn"", ""en"")"),"Sanatan Dharmalambi Abhishruti Shastri was brutally murdered after worshiping. The death of a young woman who regularly visited the Ramana Kali temple and Dhakeshwari has raised fears of religious violence.")</f>
        <v>Sanatan Dharmalambi Abhishruti Shastri was brutally murdered after worshiping. The death of a young woman who regularly visited the Ramana Kali temple and Dhakeshwari has raised fears of religious violence.</v>
      </c>
      <c r="D2266" s="5"/>
      <c r="E2266" s="5"/>
      <c r="F2266" s="5"/>
      <c r="G2266" s="5"/>
      <c r="H2266" s="5"/>
      <c r="I2266" s="5"/>
      <c r="J2266" s="5"/>
      <c r="K2266" s="5"/>
      <c r="L2266" s="5"/>
      <c r="M2266" s="5"/>
      <c r="N2266" s="5"/>
      <c r="O2266" s="5"/>
      <c r="P2266" s="5"/>
      <c r="Q2266" s="5"/>
      <c r="R2266" s="5"/>
      <c r="S2266" s="5"/>
      <c r="T2266" s="5"/>
      <c r="U2266" s="5"/>
      <c r="V2266" s="5"/>
      <c r="W2266" s="5"/>
      <c r="X2266" s="5"/>
      <c r="Y2266" s="5"/>
      <c r="Z2266" s="5"/>
    </row>
    <row r="2267" spans="1:26" ht="15.6" x14ac:dyDescent="0.3">
      <c r="A2267" s="18" t="s">
        <v>23</v>
      </c>
      <c r="B2267" s="25" t="s">
        <v>2262</v>
      </c>
      <c r="C2267" s="2" t="str">
        <f ca="1">IFERROR(__xludf.DUMMYFUNCTION("GOOGLETRANSLATE(B2267, ""bn"", ""en"")"),"But so that no fanatical group can try to take the matter in a different direction around this Ramadan or Iftar, so the discussion meeting of those people who are born with political motives and trying to save him through religion Trying to control the ma"&amp;"tter.")</f>
        <v>But so that no fanatical group can try to take the matter in a different direction around this Ramadan or Iftar, so the discussion meeting of those people who are born with political motives and trying to save him through religion Trying to control the matter.</v>
      </c>
      <c r="D2267" s="5"/>
      <c r="E2267" s="5"/>
      <c r="F2267" s="5"/>
      <c r="G2267" s="5"/>
      <c r="H2267" s="5"/>
      <c r="I2267" s="5"/>
      <c r="J2267" s="5"/>
      <c r="K2267" s="5"/>
      <c r="L2267" s="5"/>
      <c r="M2267" s="5"/>
      <c r="N2267" s="5"/>
      <c r="O2267" s="5"/>
      <c r="P2267" s="5"/>
      <c r="Q2267" s="5"/>
      <c r="R2267" s="5"/>
      <c r="S2267" s="5"/>
      <c r="T2267" s="5"/>
      <c r="U2267" s="5"/>
      <c r="V2267" s="5"/>
      <c r="W2267" s="5"/>
      <c r="X2267" s="5"/>
      <c r="Y2267" s="5"/>
      <c r="Z2267" s="5"/>
    </row>
    <row r="2268" spans="1:26" ht="15.6" x14ac:dyDescent="0.3">
      <c r="A2268" s="18" t="s">
        <v>8</v>
      </c>
      <c r="B2268" s="25" t="s">
        <v>2263</v>
      </c>
      <c r="C2268" s="2" t="str">
        <f ca="1">IFERROR(__xludf.DUMMYFUNCTION("GOOGLETRANSLATE(B2268, ""bn"", ""en"")"),"Innocent people who took refuge in Ambagan in Islampur's Dhapdhup Bilpar were brutally tortured by extremist groups in a religious hate attack on Hindus.")</f>
        <v>Innocent people who took refuge in Ambagan in Islampur's Dhapdhup Bilpar were brutally tortured by extremist groups in a religious hate attack on Hindus.</v>
      </c>
      <c r="D2268" s="5"/>
      <c r="E2268" s="5"/>
      <c r="F2268" s="5"/>
      <c r="G2268" s="5"/>
      <c r="H2268" s="5"/>
      <c r="I2268" s="5"/>
      <c r="J2268" s="5"/>
      <c r="K2268" s="5"/>
      <c r="L2268" s="5"/>
      <c r="M2268" s="5"/>
      <c r="N2268" s="5"/>
      <c r="O2268" s="5"/>
      <c r="P2268" s="5"/>
      <c r="Q2268" s="5"/>
      <c r="R2268" s="5"/>
      <c r="S2268" s="5"/>
      <c r="T2268" s="5"/>
      <c r="U2268" s="5"/>
      <c r="V2268" s="5"/>
      <c r="W2268" s="5"/>
      <c r="X2268" s="5"/>
      <c r="Y2268" s="5"/>
      <c r="Z2268" s="5"/>
    </row>
    <row r="2269" spans="1:26" ht="15.6" x14ac:dyDescent="0.3">
      <c r="A2269" s="19" t="s">
        <v>23</v>
      </c>
      <c r="B2269" s="26" t="s">
        <v>2264</v>
      </c>
      <c r="C2269" s="2" t="str">
        <f ca="1">IFERROR(__xludf.DUMMYFUNCTION("GOOGLETRANSLATE(B2269, ""bn"", ""en"")"),"The reason for the weakness of faith is to stay away from religious environment for a long time. Abstain from being an honest and exemplary person. Staying away from Shariah knowledge and religious books. To dwell among sinners. Being engrossed in the wor"&amp;"ld.")</f>
        <v>The reason for the weakness of faith is to stay away from religious environment for a long time. Abstain from being an honest and exemplary person. Staying away from Shariah knowledge and religious books. To dwell among sinners. Being engrossed in the world.</v>
      </c>
      <c r="D2269" s="5"/>
      <c r="E2269" s="5"/>
      <c r="F2269" s="5"/>
      <c r="G2269" s="5"/>
      <c r="H2269" s="5"/>
      <c r="I2269" s="5"/>
      <c r="J2269" s="5"/>
      <c r="K2269" s="5"/>
      <c r="L2269" s="5"/>
      <c r="M2269" s="5"/>
      <c r="N2269" s="5"/>
      <c r="O2269" s="5"/>
      <c r="P2269" s="5"/>
      <c r="Q2269" s="5"/>
      <c r="R2269" s="5"/>
      <c r="S2269" s="5"/>
      <c r="T2269" s="5"/>
      <c r="U2269" s="5"/>
      <c r="V2269" s="5"/>
      <c r="W2269" s="5"/>
      <c r="X2269" s="5"/>
      <c r="Y2269" s="5"/>
      <c r="Z2269" s="5"/>
    </row>
    <row r="2270" spans="1:26" ht="15.6" x14ac:dyDescent="0.3">
      <c r="A2270" s="18" t="s">
        <v>3</v>
      </c>
      <c r="B2270" s="25" t="s">
        <v>2265</v>
      </c>
      <c r="C2270" s="2" t="str">
        <f ca="1">IFERROR(__xludf.DUMMYFUNCTION("GOOGLETRANSLATE(B2270, ""bn"", ""en"")"),"The entire Dhaka University was built for the Muslims of the Bhati region, which brought together the diversity of the society while respecting it.")</f>
        <v>The entire Dhaka University was built for the Muslims of the Bhati region, which brought together the diversity of the society while respecting it.</v>
      </c>
      <c r="D2270" s="5"/>
      <c r="E2270" s="5"/>
      <c r="F2270" s="5"/>
      <c r="G2270" s="5"/>
      <c r="H2270" s="5"/>
      <c r="I2270" s="5"/>
      <c r="J2270" s="5"/>
      <c r="K2270" s="5"/>
      <c r="L2270" s="5"/>
      <c r="M2270" s="5"/>
      <c r="N2270" s="5"/>
      <c r="O2270" s="5"/>
      <c r="P2270" s="5"/>
      <c r="Q2270" s="5"/>
      <c r="R2270" s="5"/>
      <c r="S2270" s="5"/>
      <c r="T2270" s="5"/>
      <c r="U2270" s="5"/>
      <c r="V2270" s="5"/>
      <c r="W2270" s="5"/>
      <c r="X2270" s="5"/>
      <c r="Y2270" s="5"/>
      <c r="Z2270" s="5"/>
    </row>
    <row r="2271" spans="1:26" ht="15.6" x14ac:dyDescent="0.3">
      <c r="A2271" s="18" t="s">
        <v>5</v>
      </c>
      <c r="B2271" s="24" t="s">
        <v>2266</v>
      </c>
      <c r="C2271" s="2" t="str">
        <f ca="1">IFERROR(__xludf.DUMMYFUNCTION("GOOGLETRANSLATE(B2271, ""bn"", ""en"")"),"In November 2016, a religious group attacked an artist's exhibition and fatally injured him, killing 14 others.")</f>
        <v>In November 2016, a religious group attacked an artist's exhibition and fatally injured him, killing 14 others.</v>
      </c>
      <c r="D2271" s="5"/>
      <c r="E2271" s="5"/>
      <c r="F2271" s="5"/>
      <c r="G2271" s="5"/>
      <c r="H2271" s="5"/>
      <c r="I2271" s="5"/>
      <c r="J2271" s="5"/>
      <c r="K2271" s="5"/>
      <c r="L2271" s="5"/>
      <c r="M2271" s="5"/>
      <c r="N2271" s="5"/>
      <c r="O2271" s="5"/>
      <c r="P2271" s="5"/>
      <c r="Q2271" s="5"/>
      <c r="R2271" s="5"/>
      <c r="S2271" s="5"/>
      <c r="T2271" s="5"/>
      <c r="U2271" s="5"/>
      <c r="V2271" s="5"/>
      <c r="W2271" s="5"/>
      <c r="X2271" s="5"/>
      <c r="Y2271" s="5"/>
      <c r="Z2271" s="5"/>
    </row>
    <row r="2272" spans="1:26" ht="15.6" x14ac:dyDescent="0.3">
      <c r="A2272" s="18" t="s">
        <v>5</v>
      </c>
      <c r="B2272" s="24" t="s">
        <v>2267</v>
      </c>
      <c r="C2272" s="2" t="str">
        <f ca="1">IFERROR(__xludf.DUMMYFUNCTION("GOOGLETRANSLATE(B2272, ""bn"", ""en"")"),"32 killed in sectarian clashes in Jhenaidah; Security measures are strengthened.")</f>
        <v>32 killed in sectarian clashes in Jhenaidah; Security measures are strengthened.</v>
      </c>
      <c r="D2272" s="5"/>
      <c r="E2272" s="5"/>
      <c r="F2272" s="5"/>
      <c r="G2272" s="5"/>
      <c r="H2272" s="5"/>
      <c r="I2272" s="5"/>
      <c r="J2272" s="5"/>
      <c r="K2272" s="5"/>
      <c r="L2272" s="5"/>
      <c r="M2272" s="5"/>
      <c r="N2272" s="5"/>
      <c r="O2272" s="5"/>
      <c r="P2272" s="5"/>
      <c r="Q2272" s="5"/>
      <c r="R2272" s="5"/>
      <c r="S2272" s="5"/>
      <c r="T2272" s="5"/>
      <c r="U2272" s="5"/>
      <c r="V2272" s="5"/>
      <c r="W2272" s="5"/>
      <c r="X2272" s="5"/>
      <c r="Y2272" s="5"/>
      <c r="Z2272" s="5"/>
    </row>
    <row r="2273" spans="1:26" ht="15.6" x14ac:dyDescent="0.3">
      <c r="A2273" s="19" t="s">
        <v>8</v>
      </c>
      <c r="B2273" s="26" t="s">
        <v>2268</v>
      </c>
      <c r="C2273" s="2" t="str">
        <f ca="1">IFERROR(__xludf.DUMMYFUNCTION("GOOGLETRANSLATE(B2273, ""bn"", ""en"")"),"Several Hindu neighborhoods, markets and temples in Dighlia Union of Lohagra Upazila of Narail were attacked, looted and set on fire around 8 pm on Friday. The miscreants completely burnt the house of Govind Saha in Saha Para Four-five more houses were at"&amp;"tacked and set on fire")</f>
        <v>Several Hindu neighborhoods, markets and temples in Dighlia Union of Lohagra Upazila of Narail were attacked, looted and set on fire around 8 pm on Friday. The miscreants completely burnt the house of Govind Saha in Saha Para Four-five more houses were attacked and set on fire</v>
      </c>
      <c r="D2273" s="7"/>
      <c r="E2273" s="7"/>
      <c r="F2273" s="7"/>
      <c r="G2273" s="5"/>
      <c r="H2273" s="5"/>
      <c r="I2273" s="5"/>
      <c r="J2273" s="5"/>
      <c r="K2273" s="5"/>
      <c r="L2273" s="5"/>
      <c r="M2273" s="5"/>
      <c r="N2273" s="5"/>
      <c r="O2273" s="5"/>
      <c r="P2273" s="5"/>
      <c r="Q2273" s="5"/>
      <c r="R2273" s="5"/>
      <c r="S2273" s="5"/>
      <c r="T2273" s="5"/>
      <c r="U2273" s="5"/>
      <c r="V2273" s="5"/>
      <c r="W2273" s="5"/>
      <c r="X2273" s="5"/>
      <c r="Y2273" s="5"/>
      <c r="Z2273" s="5"/>
    </row>
    <row r="2274" spans="1:26" ht="15.6" x14ac:dyDescent="0.3">
      <c r="A2274" s="18" t="s">
        <v>5</v>
      </c>
      <c r="B2274" s="24" t="s">
        <v>2269</v>
      </c>
      <c r="C2274" s="2" t="str">
        <f ca="1">IFERROR(__xludf.DUMMYFUNCTION("GOOGLETRANSLATE(B2274, ""bn"", ""en"")"),"On 1 July 2016, 20 people, most of them foreign nationals, were killed in a militant attack on the Holy Artisan Bakery in Gulshan, Dhaka.")</f>
        <v>On 1 July 2016, 20 people, most of them foreign nationals, were killed in a militant attack on the Holy Artisan Bakery in Gulshan, Dhaka.</v>
      </c>
      <c r="D2274" s="5"/>
      <c r="E2274" s="5"/>
      <c r="F2274" s="5"/>
      <c r="G2274" s="5"/>
      <c r="H2274" s="5"/>
      <c r="I2274" s="5"/>
      <c r="J2274" s="5"/>
      <c r="K2274" s="5"/>
      <c r="L2274" s="5"/>
      <c r="M2274" s="5"/>
      <c r="N2274" s="5"/>
      <c r="O2274" s="5"/>
      <c r="P2274" s="5"/>
      <c r="Q2274" s="5"/>
      <c r="R2274" s="5"/>
      <c r="S2274" s="5"/>
      <c r="T2274" s="5"/>
      <c r="U2274" s="5"/>
      <c r="V2274" s="5"/>
      <c r="W2274" s="5"/>
      <c r="X2274" s="5"/>
      <c r="Y2274" s="5"/>
      <c r="Z2274" s="5"/>
    </row>
    <row r="2275" spans="1:26" ht="15.6" x14ac:dyDescent="0.3">
      <c r="A2275" s="19" t="s">
        <v>8</v>
      </c>
      <c r="B2275" s="26" t="s">
        <v>2270</v>
      </c>
      <c r="C2275" s="2" t="str">
        <f ca="1">IFERROR(__xludf.DUMMYFUNCTION("GOOGLETRANSLATE(B2275, ""bn"", ""en"")"),"On October 14, 2021, a pujamandap was attacked and set on fire at Chaikani Bazar in Begumganj Upazila of Noakhali district. [37] The next day, on October 15, after Friday prayers in Chaumuhani, the protesters marched with the banner of 'Tawhidi Janata' to"&amp;" attack. The procession hit the College Road there. Clashes broke out when the police stopped the marchers.")</f>
        <v>On October 14, 2021, a pujamandap was attacked and set on fire at Chaikani Bazar in Begumganj Upazila of Noakhali district. [37] The next day, on October 15, after Friday prayers in Chaumuhani, the protesters marched with the banner of 'Tawhidi Janata' to attack. The procession hit the College Road there. Clashes broke out when the police stopped the marchers.</v>
      </c>
      <c r="D2275" s="7"/>
      <c r="E2275" s="7"/>
      <c r="F2275" s="7"/>
      <c r="G2275" s="7"/>
      <c r="H2275" s="7"/>
      <c r="I2275" s="7"/>
      <c r="J2275" s="7"/>
      <c r="K2275" s="7"/>
      <c r="L2275" s="7"/>
      <c r="M2275" s="7"/>
      <c r="N2275" s="7"/>
      <c r="O2275" s="7"/>
      <c r="P2275" s="7"/>
      <c r="Q2275" s="7"/>
      <c r="R2275" s="7"/>
      <c r="S2275" s="5"/>
      <c r="T2275" s="5"/>
      <c r="U2275" s="5"/>
      <c r="V2275" s="5"/>
      <c r="W2275" s="5"/>
      <c r="X2275" s="5"/>
      <c r="Y2275" s="5"/>
      <c r="Z2275" s="5"/>
    </row>
    <row r="2276" spans="1:26" ht="15.6" x14ac:dyDescent="0.3">
      <c r="A2276" s="18" t="s">
        <v>3</v>
      </c>
      <c r="B2276" s="25" t="s">
        <v>2271</v>
      </c>
      <c r="C2276" s="2" t="str">
        <f ca="1">IFERROR(__xludf.DUMMYFUNCTION("GOOGLETRANSLATE(B2276, ""bn"", ""en"")"),"May Allah protect Islam, protect every Muslim of Islam and protect the Quran of Islam.")</f>
        <v>May Allah protect Islam, protect every Muslim of Islam and protect the Quran of Islam.</v>
      </c>
      <c r="D2276" s="5"/>
      <c r="E2276" s="5"/>
      <c r="F2276" s="5"/>
      <c r="G2276" s="5"/>
      <c r="H2276" s="5"/>
      <c r="I2276" s="5"/>
      <c r="J2276" s="5"/>
      <c r="K2276" s="5"/>
      <c r="L2276" s="5"/>
      <c r="M2276" s="5"/>
      <c r="N2276" s="5"/>
      <c r="O2276" s="5"/>
      <c r="P2276" s="5"/>
      <c r="Q2276" s="5"/>
      <c r="R2276" s="5"/>
      <c r="S2276" s="5"/>
      <c r="T2276" s="5"/>
      <c r="U2276" s="5"/>
      <c r="V2276" s="5"/>
      <c r="W2276" s="5"/>
      <c r="X2276" s="5"/>
      <c r="Y2276" s="5"/>
      <c r="Z2276" s="5"/>
    </row>
    <row r="2277" spans="1:26" ht="15.6" x14ac:dyDescent="0.3">
      <c r="A2277" s="18" t="s">
        <v>23</v>
      </c>
      <c r="B2277" s="25" t="s">
        <v>2272</v>
      </c>
      <c r="C2277" s="2" t="str">
        <f ca="1">IFERROR(__xludf.DUMMYFUNCTION("GOOGLETRANSLATE(B2277, ""bn"", ""en"")"),"It is entirely in Allah's hands to grant him Jannah and Hell, but I pray that Allah will grant him eternal Hell and suffer his punishment in this world.")</f>
        <v>It is entirely in Allah's hands to grant him Jannah and Hell, but I pray that Allah will grant him eternal Hell and suffer his punishment in this world.</v>
      </c>
      <c r="D2277" s="5"/>
      <c r="E2277" s="5"/>
      <c r="F2277" s="5"/>
      <c r="G2277" s="5"/>
      <c r="H2277" s="5"/>
      <c r="I2277" s="5"/>
      <c r="J2277" s="5"/>
      <c r="K2277" s="5"/>
      <c r="L2277" s="5"/>
      <c r="M2277" s="5"/>
      <c r="N2277" s="5"/>
      <c r="O2277" s="5"/>
      <c r="P2277" s="5"/>
      <c r="Q2277" s="5"/>
      <c r="R2277" s="5"/>
      <c r="S2277" s="5"/>
      <c r="T2277" s="5"/>
      <c r="U2277" s="5"/>
      <c r="V2277" s="5"/>
      <c r="W2277" s="5"/>
      <c r="X2277" s="5"/>
      <c r="Y2277" s="5"/>
      <c r="Z2277" s="5"/>
    </row>
    <row r="2278" spans="1:26" ht="15.6" x14ac:dyDescent="0.3">
      <c r="A2278" s="18" t="s">
        <v>8</v>
      </c>
      <c r="B2278" s="24" t="s">
        <v>2273</v>
      </c>
      <c r="C2278" s="2" t="str">
        <f ca="1">IFERROR(__xludf.DUMMYFUNCTION("GOOGLETRANSLATE(B2278, ""bn"", ""en"")"),"On December 13, 2023, Bhola entered the Shiva temple in Sadar Upazila and smashed the head of the Shiva linga with a hammer.")</f>
        <v>On December 13, 2023, Bhola entered the Shiva temple in Sadar Upazila and smashed the head of the Shiva linga with a hammer.</v>
      </c>
      <c r="D2278" s="5"/>
      <c r="E2278" s="5"/>
      <c r="F2278" s="5"/>
      <c r="G2278" s="5"/>
      <c r="H2278" s="5"/>
      <c r="I2278" s="5"/>
      <c r="J2278" s="5"/>
      <c r="K2278" s="5"/>
      <c r="L2278" s="5"/>
      <c r="M2278" s="5"/>
      <c r="N2278" s="5"/>
      <c r="O2278" s="5"/>
      <c r="P2278" s="5"/>
      <c r="Q2278" s="5"/>
      <c r="R2278" s="5"/>
      <c r="S2278" s="5"/>
      <c r="T2278" s="5"/>
      <c r="U2278" s="5"/>
      <c r="V2278" s="5"/>
      <c r="W2278" s="5"/>
      <c r="X2278" s="5"/>
      <c r="Y2278" s="5"/>
      <c r="Z2278" s="5"/>
    </row>
    <row r="2279" spans="1:26" ht="15.6" x14ac:dyDescent="0.3">
      <c r="A2279" s="19" t="s">
        <v>3</v>
      </c>
      <c r="B2279" s="26" t="s">
        <v>2274</v>
      </c>
      <c r="C2279" s="2" t="str">
        <f ca="1">IFERROR(__xludf.DUMMYFUNCTION("GOOGLETRANSLATE(B2279, ""bn"", ""en"")"),"Hindus were marginalized by the African-based People's National Movement after Trinidad gained independence from colonial rule. The opposition People's Democratic Party is portrayed as a ""Hindu group"" as it sympathizes with Hindus. Hindus are harassed i"&amp;"n various ways.")</f>
        <v>Hindus were marginalized by the African-based People's National Movement after Trinidad gained independence from colonial rule. The opposition People's Democratic Party is portrayed as a "Hindu group" as it sympathizes with Hindus. Hindus are harassed in various ways.</v>
      </c>
      <c r="D2279" s="7"/>
      <c r="E2279" s="7"/>
      <c r="F2279" s="7"/>
      <c r="G2279" s="7"/>
      <c r="H2279" s="7"/>
      <c r="I2279" s="7"/>
      <c r="J2279" s="7"/>
      <c r="K2279" s="5"/>
      <c r="L2279" s="5"/>
      <c r="M2279" s="5"/>
      <c r="N2279" s="5"/>
      <c r="O2279" s="5"/>
      <c r="P2279" s="5"/>
      <c r="Q2279" s="5"/>
      <c r="R2279" s="5"/>
      <c r="S2279" s="5"/>
      <c r="T2279" s="5"/>
      <c r="U2279" s="5"/>
      <c r="V2279" s="5"/>
      <c r="W2279" s="5"/>
      <c r="X2279" s="5"/>
      <c r="Y2279" s="5"/>
      <c r="Z2279" s="5"/>
    </row>
    <row r="2280" spans="1:26" ht="15.6" x14ac:dyDescent="0.3">
      <c r="A2280" s="18" t="s">
        <v>23</v>
      </c>
      <c r="B2280" s="24" t="s">
        <v>2275</v>
      </c>
      <c r="C2280" s="2" t="str">
        <f ca="1">IFERROR(__xludf.DUMMYFUNCTION("GOOGLETRANSLATE(B2280, ""bn"", ""en"")"),"Christian missionaries are destroying religious unity and creating conflict in society in the name of conversion.")</f>
        <v>Christian missionaries are destroying religious unity and creating conflict in society in the name of conversion.</v>
      </c>
      <c r="D2280" s="5"/>
      <c r="E2280" s="5"/>
      <c r="F2280" s="5"/>
      <c r="G2280" s="5"/>
      <c r="H2280" s="5"/>
      <c r="I2280" s="5"/>
      <c r="J2280" s="5"/>
      <c r="K2280" s="5"/>
      <c r="L2280" s="5"/>
      <c r="M2280" s="5"/>
      <c r="N2280" s="5"/>
      <c r="O2280" s="5"/>
      <c r="P2280" s="5"/>
      <c r="Q2280" s="5"/>
      <c r="R2280" s="5"/>
      <c r="S2280" s="5"/>
      <c r="T2280" s="5"/>
      <c r="U2280" s="5"/>
      <c r="V2280" s="5"/>
      <c r="W2280" s="5"/>
      <c r="X2280" s="5"/>
      <c r="Y2280" s="5"/>
      <c r="Z2280" s="5"/>
    </row>
    <row r="2281" spans="1:26" ht="15.6" x14ac:dyDescent="0.3">
      <c r="A2281" s="18" t="s">
        <v>5</v>
      </c>
      <c r="B2281" s="24" t="s">
        <v>2276</v>
      </c>
      <c r="C2281" s="2" t="str">
        <f ca="1">IFERROR(__xludf.DUMMYFUNCTION("GOOGLETRANSLATE(B2281, ""bn"", ""en"")"),"In October 2019, a group of religious extremists banned girls from playing sports, killing 13 people in violence against those who went to play.")</f>
        <v>In October 2019, a group of religious extremists banned girls from playing sports, killing 13 people in violence against those who went to play.</v>
      </c>
      <c r="D2281" s="5"/>
      <c r="E2281" s="5"/>
      <c r="F2281" s="5"/>
      <c r="G2281" s="5"/>
      <c r="H2281" s="5"/>
      <c r="I2281" s="5"/>
      <c r="J2281" s="5"/>
      <c r="K2281" s="5"/>
      <c r="L2281" s="5"/>
      <c r="M2281" s="5"/>
      <c r="N2281" s="5"/>
      <c r="O2281" s="5"/>
      <c r="P2281" s="5"/>
      <c r="Q2281" s="5"/>
      <c r="R2281" s="5"/>
      <c r="S2281" s="5"/>
      <c r="T2281" s="5"/>
      <c r="U2281" s="5"/>
      <c r="V2281" s="5"/>
      <c r="W2281" s="5"/>
      <c r="X2281" s="5"/>
      <c r="Y2281" s="5"/>
      <c r="Z2281" s="5"/>
    </row>
    <row r="2282" spans="1:26" ht="15.6" x14ac:dyDescent="0.3">
      <c r="A2282" s="18" t="s">
        <v>3</v>
      </c>
      <c r="B2282" s="25" t="s">
        <v>2277</v>
      </c>
      <c r="C2282" s="2" t="str">
        <f ca="1">IFERROR(__xludf.DUMMYFUNCTION("GOOGLETRANSLATE(B2282, ""bn"", ""en"")"),"Allah says in the Qur'an that He is the Creator of all creation, and the guidance that comes from Him is best for the welfare of humanity.")</f>
        <v>Allah says in the Qur'an that He is the Creator of all creation, and the guidance that comes from Him is best for the welfare of humanity.</v>
      </c>
      <c r="D2282" s="2"/>
      <c r="E2282" s="2"/>
      <c r="F2282" s="2"/>
      <c r="G2282" s="2"/>
      <c r="H2282" s="3"/>
      <c r="I2282" s="3"/>
      <c r="J2282" s="3"/>
      <c r="K2282" s="3"/>
      <c r="L2282" s="3"/>
      <c r="M2282" s="3"/>
      <c r="N2282" s="3"/>
      <c r="O2282" s="3"/>
      <c r="P2282" s="3"/>
      <c r="Q2282" s="3"/>
      <c r="R2282" s="3"/>
      <c r="S2282" s="3"/>
      <c r="T2282" s="3"/>
      <c r="U2282" s="3"/>
      <c r="V2282" s="3"/>
      <c r="W2282" s="3"/>
      <c r="X2282" s="3"/>
      <c r="Y2282" s="3"/>
      <c r="Z2282" s="3"/>
    </row>
    <row r="2283" spans="1:26" ht="15.6" x14ac:dyDescent="0.3">
      <c r="A2283" s="19" t="s">
        <v>8</v>
      </c>
      <c r="B2283" s="26" t="s">
        <v>2278</v>
      </c>
      <c r="C2283" s="2" t="str">
        <f ca="1">IFERROR(__xludf.DUMMYFUNCTION("GOOGLETRANSLATE(B2283, ""bn"", ""en"")"),"In Chuadanga, the locals threatened to burn construction materials to protest against the construction of a church next to a mosque.")</f>
        <v>In Chuadanga, the locals threatened to burn construction materials to protest against the construction of a church next to a mosque.</v>
      </c>
      <c r="D2283" s="5"/>
      <c r="E2283" s="5"/>
      <c r="F2283" s="5"/>
      <c r="G2283" s="5"/>
      <c r="H2283" s="5"/>
      <c r="I2283" s="5"/>
      <c r="J2283" s="5"/>
      <c r="K2283" s="5"/>
      <c r="L2283" s="5"/>
      <c r="M2283" s="5"/>
      <c r="N2283" s="5"/>
      <c r="O2283" s="5"/>
      <c r="P2283" s="5"/>
      <c r="Q2283" s="5"/>
      <c r="R2283" s="5"/>
      <c r="S2283" s="5"/>
      <c r="T2283" s="5"/>
      <c r="U2283" s="5"/>
      <c r="V2283" s="5"/>
      <c r="W2283" s="5"/>
      <c r="X2283" s="5"/>
      <c r="Y2283" s="5"/>
      <c r="Z2283" s="5"/>
    </row>
    <row r="2284" spans="1:26" ht="15.6" x14ac:dyDescent="0.3">
      <c r="A2284" s="19" t="s">
        <v>3</v>
      </c>
      <c r="B2284" s="26" t="s">
        <v>2279</v>
      </c>
      <c r="C2284" s="2" t="str">
        <f ca="1">IFERROR(__xludf.DUMMYFUNCTION("GOOGLETRANSLATE(B2284, ""bn"", ""en"")"),"When Hindu Muslims live together peacefully, respect and understanding of each other's culture and religious beliefs is established in the society, which promotes peace and harmony.")</f>
        <v>When Hindu Muslims live together peacefully, respect and understanding of each other's culture and religious beliefs is established in the society, which promotes peace and harmony.</v>
      </c>
      <c r="D2284" s="5"/>
      <c r="E2284" s="5"/>
      <c r="F2284" s="5"/>
      <c r="G2284" s="5"/>
      <c r="H2284" s="5"/>
      <c r="I2284" s="5"/>
      <c r="J2284" s="5"/>
      <c r="K2284" s="5"/>
      <c r="L2284" s="5"/>
      <c r="M2284" s="5"/>
      <c r="N2284" s="5"/>
      <c r="O2284" s="5"/>
      <c r="P2284" s="5"/>
      <c r="Q2284" s="5"/>
      <c r="R2284" s="5"/>
      <c r="S2284" s="5"/>
      <c r="T2284" s="5"/>
      <c r="U2284" s="5"/>
      <c r="V2284" s="5"/>
      <c r="W2284" s="5"/>
      <c r="X2284" s="5"/>
      <c r="Y2284" s="5"/>
      <c r="Z2284" s="5"/>
    </row>
    <row r="2285" spans="1:26" ht="15.6" x14ac:dyDescent="0.3">
      <c r="A2285" s="19" t="s">
        <v>23</v>
      </c>
      <c r="B2285" s="26" t="s">
        <v>2280</v>
      </c>
      <c r="C2285" s="2" t="str">
        <f ca="1">IFERROR(__xludf.DUMMYFUNCTION("GOOGLETRANSLATE(B2285, ""bn"", ""en"")"),"The lack of police action has led to tension in the area, which may turn into bloody communal riots.")</f>
        <v>The lack of police action has led to tension in the area, which may turn into bloody communal riots.</v>
      </c>
      <c r="D2285" s="7"/>
      <c r="E2285" s="7"/>
      <c r="F2285" s="5"/>
      <c r="G2285" s="5"/>
      <c r="H2285" s="5"/>
      <c r="I2285" s="5"/>
      <c r="J2285" s="5"/>
      <c r="K2285" s="5"/>
      <c r="L2285" s="5"/>
      <c r="M2285" s="5"/>
      <c r="N2285" s="5"/>
      <c r="O2285" s="5"/>
      <c r="P2285" s="5"/>
      <c r="Q2285" s="5"/>
      <c r="R2285" s="5"/>
      <c r="S2285" s="5"/>
      <c r="T2285" s="5"/>
      <c r="U2285" s="5"/>
      <c r="V2285" s="5"/>
      <c r="W2285" s="5"/>
      <c r="X2285" s="5"/>
      <c r="Y2285" s="5"/>
      <c r="Z2285" s="5"/>
    </row>
    <row r="2286" spans="1:26" ht="15.6" x14ac:dyDescent="0.3">
      <c r="A2286" s="18" t="s">
        <v>8</v>
      </c>
      <c r="B2286" s="25" t="s">
        <v>2281</v>
      </c>
      <c r="C2286" s="2" t="str">
        <f ca="1">IFERROR(__xludf.DUMMYFUNCTION("GOOGLETRANSLATE(B2286, ""bn"", ""en"")"),"Many Hindus have had their temples destroyed, their houses set on fire, persecuted for their religion and forced to leave the country.")</f>
        <v>Many Hindus have had their temples destroyed, their houses set on fire, persecuted for their religion and forced to leave the country.</v>
      </c>
      <c r="D2286" s="5"/>
      <c r="E2286" s="5"/>
      <c r="F2286" s="5"/>
      <c r="G2286" s="5"/>
      <c r="H2286" s="5"/>
      <c r="I2286" s="5"/>
      <c r="J2286" s="5"/>
      <c r="K2286" s="5"/>
      <c r="L2286" s="5"/>
      <c r="M2286" s="5"/>
      <c r="N2286" s="5"/>
      <c r="O2286" s="5"/>
      <c r="P2286" s="5"/>
      <c r="Q2286" s="5"/>
      <c r="R2286" s="5"/>
      <c r="S2286" s="5"/>
      <c r="T2286" s="5"/>
      <c r="U2286" s="5"/>
      <c r="V2286" s="5"/>
      <c r="W2286" s="5"/>
      <c r="X2286" s="5"/>
      <c r="Y2286" s="5"/>
      <c r="Z2286" s="5"/>
    </row>
    <row r="2287" spans="1:26" ht="15.6" x14ac:dyDescent="0.3">
      <c r="A2287" s="19" t="s">
        <v>8</v>
      </c>
      <c r="B2287" s="26" t="s">
        <v>2282</v>
      </c>
      <c r="C2287" s="2" t="str">
        <f ca="1">IFERROR(__xludf.DUMMYFUNCTION("GOOGLETRANSLATE(B2287, ""bn"", ""en"")"),"In Jaipurhat, the priest was abducted and interrogated on charges of proselytizing, after which the temple was attacked.")</f>
        <v>In Jaipurhat, the priest was abducted and interrogated on charges of proselytizing, after which the temple was attacked.</v>
      </c>
      <c r="D2287" s="5"/>
      <c r="E2287" s="5"/>
      <c r="F2287" s="5"/>
      <c r="G2287" s="5"/>
      <c r="H2287" s="5"/>
      <c r="I2287" s="5"/>
      <c r="J2287" s="5"/>
      <c r="K2287" s="5"/>
      <c r="L2287" s="5"/>
      <c r="M2287" s="5"/>
      <c r="N2287" s="5"/>
      <c r="O2287" s="5"/>
      <c r="P2287" s="5"/>
      <c r="Q2287" s="5"/>
      <c r="R2287" s="5"/>
      <c r="S2287" s="5"/>
      <c r="T2287" s="5"/>
      <c r="U2287" s="5"/>
      <c r="V2287" s="5"/>
      <c r="W2287" s="5"/>
      <c r="X2287" s="5"/>
      <c r="Y2287" s="5"/>
      <c r="Z2287" s="5"/>
    </row>
    <row r="2288" spans="1:26" ht="15.6" x14ac:dyDescent="0.3">
      <c r="A2288" s="19" t="s">
        <v>3</v>
      </c>
      <c r="B2288" s="26" t="s">
        <v>2283</v>
      </c>
      <c r="C2288" s="2" t="str">
        <f ca="1">IFERROR(__xludf.DUMMYFUNCTION("GOOGLETRANSLATE(B2288, ""bn"", ""en"")"),"Alhamdulillah explained very well, may Allah accept him to preach Islam and increase his intellectual power, Ameen.")</f>
        <v>Alhamdulillah explained very well, may Allah accept him to preach Islam and increase his intellectual power, Ameen.</v>
      </c>
      <c r="D2288" s="5"/>
      <c r="E2288" s="5"/>
      <c r="F2288" s="5"/>
      <c r="G2288" s="5"/>
      <c r="H2288" s="5"/>
      <c r="I2288" s="5"/>
      <c r="J2288" s="5"/>
      <c r="K2288" s="5"/>
      <c r="L2288" s="5"/>
      <c r="M2288" s="5"/>
      <c r="N2288" s="5"/>
      <c r="O2288" s="5"/>
      <c r="P2288" s="5"/>
      <c r="Q2288" s="5"/>
      <c r="R2288" s="5"/>
      <c r="S2288" s="5"/>
      <c r="T2288" s="5"/>
      <c r="U2288" s="5"/>
      <c r="V2288" s="5"/>
      <c r="W2288" s="5"/>
      <c r="X2288" s="5"/>
      <c r="Y2288" s="5"/>
      <c r="Z2288" s="5"/>
    </row>
    <row r="2289" spans="1:26" ht="15.6" x14ac:dyDescent="0.3">
      <c r="A2289" s="18" t="s">
        <v>8</v>
      </c>
      <c r="B2289" s="24" t="s">
        <v>2284</v>
      </c>
      <c r="C2289" s="2" t="str">
        <f ca="1">IFERROR(__xludf.DUMMYFUNCTION("GOOGLETRANSLATE(B2289, ""bn"", ""en"")"),"In Madaripur, during Sharadiya festival, the raw material for making the idol was burnt, the work had to be stopped completely.")</f>
        <v>In Madaripur, during Sharadiya festival, the raw material for making the idol was burnt, the work had to be stopped completely.</v>
      </c>
      <c r="D2289" s="5"/>
      <c r="E2289" s="5"/>
      <c r="F2289" s="5"/>
      <c r="G2289" s="5"/>
      <c r="H2289" s="5"/>
      <c r="I2289" s="5"/>
      <c r="J2289" s="5"/>
      <c r="K2289" s="5"/>
      <c r="L2289" s="5"/>
      <c r="M2289" s="5"/>
      <c r="N2289" s="5"/>
      <c r="O2289" s="5"/>
      <c r="P2289" s="5"/>
      <c r="Q2289" s="5"/>
      <c r="R2289" s="5"/>
      <c r="S2289" s="5"/>
      <c r="T2289" s="5"/>
      <c r="U2289" s="5"/>
      <c r="V2289" s="5"/>
      <c r="W2289" s="5"/>
      <c r="X2289" s="5"/>
      <c r="Y2289" s="5"/>
      <c r="Z2289" s="5"/>
    </row>
    <row r="2290" spans="1:26" ht="15.6" x14ac:dyDescent="0.3">
      <c r="A2290" s="18" t="s">
        <v>23</v>
      </c>
      <c r="B2290" s="25" t="s">
        <v>2285</v>
      </c>
      <c r="C2290" s="2" t="str">
        <f ca="1">IFERROR(__xludf.DUMMYFUNCTION("GOOGLETRANSLATE(B2290, ""bn"", ""en"")"),"We all want to be judged, now we are shouting, then who killed it? Extremism in the name of religion must be stopped from this country.")</f>
        <v>We all want to be judged, now we are shouting, then who killed it? Extremism in the name of religion must be stopped from this country.</v>
      </c>
      <c r="D2290" s="2"/>
      <c r="E2290" s="2"/>
      <c r="F2290" s="2"/>
      <c r="G2290" s="2"/>
      <c r="H2290" s="3"/>
      <c r="I2290" s="3"/>
      <c r="J2290" s="3"/>
      <c r="K2290" s="3"/>
      <c r="L2290" s="3"/>
      <c r="M2290" s="3"/>
      <c r="N2290" s="3"/>
      <c r="O2290" s="3"/>
      <c r="P2290" s="3"/>
      <c r="Q2290" s="3"/>
      <c r="R2290" s="3"/>
      <c r="S2290" s="3"/>
      <c r="T2290" s="3"/>
      <c r="U2290" s="3"/>
      <c r="V2290" s="3"/>
      <c r="W2290" s="3"/>
      <c r="X2290" s="3"/>
      <c r="Y2290" s="3"/>
      <c r="Z2290" s="3"/>
    </row>
    <row r="2291" spans="1:26" ht="15.6" x14ac:dyDescent="0.3">
      <c r="A2291" s="19" t="s">
        <v>5</v>
      </c>
      <c r="B2291" s="26" t="s">
        <v>2286</v>
      </c>
      <c r="C2291" s="2" t="str">
        <f ca="1">IFERROR(__xludf.DUMMYFUNCTION("GOOGLETRANSLATE(B2291, ""bn"", ""en"")"),"State-sanctioned programs have taken shape. [2][3] Between 1954 and 1982, Hindu-Muslim communal violence resulted in the deaths of approximately 10,000 Muslims in a series of communal violence that began in the 1950s. [4]")</f>
        <v>State-sanctioned programs have taken shape. [2][3] Between 1954 and 1982, Hindu-Muslim communal violence resulted in the deaths of approximately 10,000 Muslims in a series of communal violence that began in the 1950s. [4]</v>
      </c>
      <c r="D2291" s="5"/>
      <c r="E2291" s="5"/>
      <c r="F2291" s="5"/>
      <c r="G2291" s="5"/>
      <c r="H2291" s="5"/>
      <c r="I2291" s="5"/>
      <c r="J2291" s="5"/>
      <c r="K2291" s="5"/>
      <c r="L2291" s="5"/>
      <c r="M2291" s="5"/>
      <c r="N2291" s="5"/>
      <c r="O2291" s="5"/>
      <c r="P2291" s="5"/>
      <c r="Q2291" s="5"/>
      <c r="R2291" s="5"/>
      <c r="S2291" s="5"/>
      <c r="T2291" s="5"/>
      <c r="U2291" s="5"/>
      <c r="V2291" s="5"/>
      <c r="W2291" s="5"/>
      <c r="X2291" s="5"/>
      <c r="Y2291" s="5"/>
      <c r="Z2291" s="5"/>
    </row>
    <row r="2292" spans="1:26" ht="15.6" x14ac:dyDescent="0.3">
      <c r="A2292" s="18" t="s">
        <v>8</v>
      </c>
      <c r="B2292" s="25" t="s">
        <v>2287</v>
      </c>
      <c r="C2292" s="2" t="str">
        <f ca="1">IFERROR(__xludf.DUMMYFUNCTION("GOOGLETRANSLATE(B2292, ""bn"", ""en"")"),"After accusing the principal of blasphemy in Narail, this time there have been incidents of fire and attack on the houses and temples of Hindus in Dighlia in the same pretext.")</f>
        <v>After accusing the principal of blasphemy in Narail, this time there have been incidents of fire and attack on the houses and temples of Hindus in Dighlia in the same pretext.</v>
      </c>
      <c r="D2292" s="5"/>
      <c r="E2292" s="5"/>
      <c r="F2292" s="5"/>
      <c r="G2292" s="5"/>
      <c r="H2292" s="5"/>
      <c r="I2292" s="5"/>
      <c r="J2292" s="5"/>
      <c r="K2292" s="5"/>
      <c r="L2292" s="5"/>
      <c r="M2292" s="5"/>
      <c r="N2292" s="5"/>
      <c r="O2292" s="5"/>
      <c r="P2292" s="5"/>
      <c r="Q2292" s="5"/>
      <c r="R2292" s="5"/>
      <c r="S2292" s="5"/>
      <c r="T2292" s="5"/>
      <c r="U2292" s="5"/>
      <c r="V2292" s="5"/>
      <c r="W2292" s="5"/>
      <c r="X2292" s="5"/>
      <c r="Y2292" s="5"/>
      <c r="Z2292" s="5"/>
    </row>
    <row r="2293" spans="1:26" ht="15.6" x14ac:dyDescent="0.3">
      <c r="A2293" s="18" t="s">
        <v>23</v>
      </c>
      <c r="B2293" s="25" t="s">
        <v>2288</v>
      </c>
      <c r="C2293" s="2" t="str">
        <f ca="1">IFERROR(__xludf.DUMMYFUNCTION("GOOGLETRANSLATE(B2293, ""bn"", ""en"")"),"In 2001, the Taliban-ruled Samantha Act was passed to force Hindus to wear yellow badges in public to identify them.")</f>
        <v>In 2001, the Taliban-ruled Samantha Act was passed to force Hindus to wear yellow badges in public to identify them.</v>
      </c>
      <c r="D2293" s="5"/>
      <c r="E2293" s="5"/>
      <c r="F2293" s="5"/>
      <c r="G2293" s="5"/>
      <c r="H2293" s="5"/>
      <c r="I2293" s="5"/>
      <c r="J2293" s="5"/>
      <c r="K2293" s="5"/>
      <c r="L2293" s="5"/>
      <c r="M2293" s="5"/>
      <c r="N2293" s="5"/>
      <c r="O2293" s="5"/>
      <c r="P2293" s="5"/>
      <c r="Q2293" s="5"/>
      <c r="R2293" s="5"/>
      <c r="S2293" s="5"/>
      <c r="T2293" s="5"/>
      <c r="U2293" s="5"/>
      <c r="V2293" s="5"/>
      <c r="W2293" s="5"/>
      <c r="X2293" s="5"/>
      <c r="Y2293" s="5"/>
      <c r="Z2293" s="5"/>
    </row>
    <row r="2294" spans="1:26" ht="15.6" x14ac:dyDescent="0.3">
      <c r="A2294" s="18" t="s">
        <v>3</v>
      </c>
      <c r="B2294" s="25" t="s">
        <v>2289</v>
      </c>
      <c r="C2294" s="2" t="str">
        <f ca="1">IFERROR(__xludf.DUMMYFUNCTION("GOOGLETRANSLATE(B2294, ""bn"", ""en"")"),"Read the Gita as the word of God as the way to the liberation of man and all living beings. And the Vedas are Sanatan and the main means of knowing God for Hindus.")</f>
        <v>Read the Gita as the word of God as the way to the liberation of man and all living beings. And the Vedas are Sanatan and the main means of knowing God for Hindus.</v>
      </c>
      <c r="D2294" s="5"/>
      <c r="E2294" s="5"/>
      <c r="F2294" s="5"/>
      <c r="G2294" s="5"/>
      <c r="H2294" s="5"/>
      <c r="I2294" s="5"/>
      <c r="J2294" s="5"/>
      <c r="K2294" s="5"/>
      <c r="L2294" s="5"/>
      <c r="M2294" s="5"/>
      <c r="N2294" s="5"/>
      <c r="O2294" s="5"/>
      <c r="P2294" s="5"/>
      <c r="Q2294" s="5"/>
      <c r="R2294" s="5"/>
      <c r="S2294" s="5"/>
      <c r="T2294" s="5"/>
      <c r="U2294" s="5"/>
      <c r="V2294" s="5"/>
      <c r="W2294" s="5"/>
      <c r="X2294" s="5"/>
      <c r="Y2294" s="5"/>
      <c r="Z2294" s="5"/>
    </row>
    <row r="2295" spans="1:26" ht="15.6" x14ac:dyDescent="0.3">
      <c r="A2295" s="18" t="s">
        <v>8</v>
      </c>
      <c r="B2295" s="25" t="s">
        <v>2290</v>
      </c>
      <c r="C2295" s="2" t="str">
        <f ca="1">IFERROR(__xludf.DUMMYFUNCTION("GOOGLETRANSLATE(B2295, ""bn"", ""en"")"),"In the name of religion, society should not establish harmony against oppression, humiliation and broken morals. The power of religion should establish humanity.")</f>
        <v>In the name of religion, society should not establish harmony against oppression, humiliation and broken morals. The power of religion should establish humanity.</v>
      </c>
      <c r="D2295" s="5"/>
      <c r="E2295" s="5"/>
      <c r="F2295" s="5"/>
      <c r="G2295" s="5"/>
      <c r="H2295" s="5"/>
      <c r="I2295" s="5"/>
      <c r="J2295" s="5"/>
      <c r="K2295" s="5"/>
      <c r="L2295" s="5"/>
      <c r="M2295" s="5"/>
      <c r="N2295" s="5"/>
      <c r="O2295" s="5"/>
      <c r="P2295" s="5"/>
      <c r="Q2295" s="5"/>
      <c r="R2295" s="5"/>
      <c r="S2295" s="5"/>
      <c r="T2295" s="5"/>
      <c r="U2295" s="5"/>
      <c r="V2295" s="5"/>
      <c r="W2295" s="5"/>
      <c r="X2295" s="5"/>
      <c r="Y2295" s="5"/>
      <c r="Z2295" s="5"/>
    </row>
    <row r="2296" spans="1:26" ht="15.6" x14ac:dyDescent="0.3">
      <c r="A2296" s="19" t="s">
        <v>8</v>
      </c>
      <c r="B2296" s="26" t="s">
        <v>2291</v>
      </c>
      <c r="C2296" s="2" t="str">
        <f ca="1">IFERROR(__xludf.DUMMYFUNCTION("GOOGLETRANSLATE(B2296, ""bn"", ""en"")"),"Beauty Queen Mandal said. ""Friday afternoon word of mouth started spreading accusations of insulting Islam in Facebook posts. ""Shortly after that in the evening seven to eight hundred people came and attacked. Among the attackers were many youths and ma"&amp;"ny madrassa students. There were many elderly people too,"" he said.")</f>
        <v>Beauty Queen Mandal said. "Friday afternoon word of mouth started spreading accusations of insulting Islam in Facebook posts. "Shortly after that in the evening seven to eight hundred people came and attacked. Among the attackers were many youths and many madrassa students. There were many elderly people too," he said.</v>
      </c>
      <c r="D2296" s="7"/>
      <c r="E2296" s="7"/>
      <c r="F2296" s="7"/>
      <c r="G2296" s="7"/>
      <c r="H2296" s="7"/>
      <c r="I2296" s="5"/>
      <c r="J2296" s="5"/>
      <c r="K2296" s="5"/>
      <c r="L2296" s="5"/>
      <c r="M2296" s="5"/>
      <c r="N2296" s="5"/>
      <c r="O2296" s="5"/>
      <c r="P2296" s="5"/>
      <c r="Q2296" s="5"/>
      <c r="R2296" s="5"/>
      <c r="S2296" s="5"/>
      <c r="T2296" s="5"/>
      <c r="U2296" s="5"/>
      <c r="V2296" s="5"/>
      <c r="W2296" s="5"/>
      <c r="X2296" s="5"/>
      <c r="Y2296" s="5"/>
      <c r="Z2296" s="5"/>
    </row>
    <row r="2297" spans="1:26" ht="15.6" x14ac:dyDescent="0.3">
      <c r="A2297" s="19" t="s">
        <v>23</v>
      </c>
      <c r="B2297" s="26" t="s">
        <v>2292</v>
      </c>
      <c r="C2297" s="2" t="str">
        <f ca="1">IFERROR(__xludf.DUMMYFUNCTION("GOOGLETRANSLATE(B2297, ""bn"", ""en"")"),"We have given information about the cycle to the Ministry of Home Affairs several times but nothing has been done And the police administration did not take any action to stop any attack even though they received information in advance."" He said, ""They "&amp;"want to expel Hindus from Bangladesh. Wants to grab the wealth of Hindus for political gain")</f>
        <v>We have given information about the cycle to the Ministry of Home Affairs several times but nothing has been done And the police administration did not take any action to stop any attack even though they received information in advance." He said, "They want to expel Hindus from Bangladesh. Wants to grab the wealth of Hindus for political gain</v>
      </c>
      <c r="D2297" s="7"/>
      <c r="E2297" s="7"/>
      <c r="F2297" s="7"/>
      <c r="G2297" s="7"/>
      <c r="H2297" s="7"/>
      <c r="I2297" s="7"/>
      <c r="J2297" s="5"/>
      <c r="K2297" s="5"/>
      <c r="L2297" s="5"/>
      <c r="M2297" s="5"/>
      <c r="N2297" s="5"/>
      <c r="O2297" s="5"/>
      <c r="P2297" s="5"/>
      <c r="Q2297" s="5"/>
      <c r="R2297" s="5"/>
      <c r="S2297" s="5"/>
      <c r="T2297" s="5"/>
      <c r="U2297" s="5"/>
      <c r="V2297" s="5"/>
      <c r="W2297" s="5"/>
      <c r="X2297" s="5"/>
      <c r="Y2297" s="5"/>
      <c r="Z2297" s="5"/>
    </row>
    <row r="2298" spans="1:26" ht="15.6" x14ac:dyDescent="0.3">
      <c r="A2298" s="18" t="s">
        <v>5</v>
      </c>
      <c r="B2298" s="24" t="s">
        <v>2293</v>
      </c>
      <c r="C2298" s="2" t="str">
        <f ca="1">IFERROR(__xludf.DUMMYFUNCTION("GOOGLETRANSLATE(B2298, ""bn"", ""en"")"),"In January 2017, 24 people were killed in clashes between a group of religious groups; Several were seriously injured.")</f>
        <v>In January 2017, 24 people were killed in clashes between a group of religious groups; Several were seriously injured.</v>
      </c>
      <c r="D2298" s="5"/>
      <c r="E2298" s="5"/>
      <c r="F2298" s="5"/>
      <c r="G2298" s="5"/>
      <c r="H2298" s="5"/>
      <c r="I2298" s="5"/>
      <c r="J2298" s="5"/>
      <c r="K2298" s="5"/>
      <c r="L2298" s="5"/>
      <c r="M2298" s="5"/>
      <c r="N2298" s="5"/>
      <c r="O2298" s="5"/>
      <c r="P2298" s="5"/>
      <c r="Q2298" s="5"/>
      <c r="R2298" s="5"/>
      <c r="S2298" s="5"/>
      <c r="T2298" s="5"/>
      <c r="U2298" s="5"/>
      <c r="V2298" s="5"/>
      <c r="W2298" s="5"/>
      <c r="X2298" s="5"/>
      <c r="Y2298" s="5"/>
      <c r="Z2298" s="5"/>
    </row>
    <row r="2299" spans="1:26" ht="15.6" x14ac:dyDescent="0.3">
      <c r="A2299" s="19" t="s">
        <v>8</v>
      </c>
      <c r="B2299" s="26" t="s">
        <v>2294</v>
      </c>
      <c r="C2299" s="2" t="str">
        <f ca="1">IFERROR(__xludf.DUMMYFUNCTION("GOOGLETRANSLATE(B2299, ""bn"", ""en"")"),"In the latter part of 1946, Bengali Hindus in Noakhali and Tripura districts of East Bengal (now Bangladesh) were subjected to a series of brutal massacres, rapes, looting, arson, conversions by Muslims, known as the Noakhali Riots.")</f>
        <v>In the latter part of 1946, Bengali Hindus in Noakhali and Tripura districts of East Bengal (now Bangladesh) were subjected to a series of brutal massacres, rapes, looting, arson, conversions by Muslims, known as the Noakhali Riots.</v>
      </c>
      <c r="D2299" s="5"/>
      <c r="E2299" s="5"/>
      <c r="F2299" s="5"/>
      <c r="G2299" s="5"/>
      <c r="H2299" s="5"/>
      <c r="I2299" s="5"/>
      <c r="J2299" s="5"/>
      <c r="K2299" s="5"/>
      <c r="L2299" s="5"/>
      <c r="M2299" s="5"/>
      <c r="N2299" s="5"/>
      <c r="O2299" s="5"/>
      <c r="P2299" s="5"/>
      <c r="Q2299" s="5"/>
      <c r="R2299" s="5"/>
      <c r="S2299" s="5"/>
      <c r="T2299" s="5"/>
      <c r="U2299" s="5"/>
      <c r="V2299" s="5"/>
      <c r="W2299" s="5"/>
      <c r="X2299" s="5"/>
      <c r="Y2299" s="5"/>
      <c r="Z2299" s="5"/>
    </row>
    <row r="2300" spans="1:26" ht="15.6" x14ac:dyDescent="0.3">
      <c r="A2300" s="19" t="s">
        <v>23</v>
      </c>
      <c r="B2300" s="26" t="s">
        <v>2295</v>
      </c>
      <c r="C2300" s="2" t="str">
        <f ca="1">IFERROR(__xludf.DUMMYFUNCTION("GOOGLETRANSLATE(B2300, ""bn"", ""en"")"),"In this country, the biggest enemy of Islam is the secular group wearing the name of Islam. Rabish, Khabish.")</f>
        <v>In this country, the biggest enemy of Islam is the secular group wearing the name of Islam. Rabish, Khabish.</v>
      </c>
      <c r="D2300" s="7"/>
      <c r="E2300" s="7"/>
      <c r="F2300" s="7"/>
      <c r="G2300" s="7"/>
      <c r="H2300" s="5"/>
      <c r="I2300" s="5"/>
      <c r="J2300" s="5"/>
      <c r="K2300" s="5"/>
      <c r="L2300" s="5"/>
      <c r="M2300" s="5"/>
      <c r="N2300" s="5"/>
      <c r="O2300" s="5"/>
      <c r="P2300" s="5"/>
      <c r="Q2300" s="5"/>
      <c r="R2300" s="5"/>
      <c r="S2300" s="5"/>
      <c r="T2300" s="5"/>
      <c r="U2300" s="5"/>
      <c r="V2300" s="5"/>
      <c r="W2300" s="5"/>
      <c r="X2300" s="5"/>
      <c r="Y2300" s="5"/>
      <c r="Z2300" s="5"/>
    </row>
    <row r="2301" spans="1:26" ht="15.6" x14ac:dyDescent="0.3">
      <c r="A2301" s="19" t="s">
        <v>23</v>
      </c>
      <c r="B2301" s="26" t="s">
        <v>2296</v>
      </c>
      <c r="C2301" s="2" t="str">
        <f ca="1">IFERROR(__xludf.DUMMYFUNCTION("GOOGLETRANSLATE(B2301, ""bn"", ""en"")"),"Blasphemy: What constitutes religious blasphemy? What is in the law? What is the punishment?")</f>
        <v>Blasphemy: What constitutes religious blasphemy? What is in the law? What is the punishment?</v>
      </c>
      <c r="D2301" s="5"/>
      <c r="E2301" s="5"/>
      <c r="F2301" s="5"/>
      <c r="G2301" s="5"/>
      <c r="H2301" s="5"/>
      <c r="I2301" s="5"/>
      <c r="J2301" s="5"/>
      <c r="K2301" s="5"/>
      <c r="L2301" s="5"/>
      <c r="M2301" s="5"/>
      <c r="N2301" s="5"/>
      <c r="O2301" s="5"/>
      <c r="P2301" s="5"/>
      <c r="Q2301" s="5"/>
      <c r="R2301" s="5"/>
      <c r="S2301" s="5"/>
      <c r="T2301" s="5"/>
      <c r="U2301" s="5"/>
      <c r="V2301" s="5"/>
      <c r="W2301" s="5"/>
      <c r="X2301" s="5"/>
      <c r="Y2301" s="5"/>
      <c r="Z2301" s="5"/>
    </row>
    <row r="2302" spans="1:26" ht="15.6" x14ac:dyDescent="0.3">
      <c r="A2302" s="18" t="s">
        <v>5</v>
      </c>
      <c r="B2302" s="24" t="s">
        <v>2297</v>
      </c>
      <c r="C2302" s="2" t="str">
        <f ca="1">IFERROR(__xludf.DUMMYFUNCTION("GOOGLETRANSLATE(B2302, ""bn"", ""en"")"),"43 killed in Nawapara sectarian clashes; Many people were injured in police firing.")</f>
        <v>43 killed in Nawapara sectarian clashes; Many people were injured in police firing.</v>
      </c>
      <c r="D2302" s="5"/>
      <c r="E2302" s="5"/>
      <c r="F2302" s="5"/>
      <c r="G2302" s="5"/>
      <c r="H2302" s="5"/>
      <c r="I2302" s="5"/>
      <c r="J2302" s="5"/>
      <c r="K2302" s="5"/>
      <c r="L2302" s="5"/>
      <c r="M2302" s="5"/>
      <c r="N2302" s="5"/>
      <c r="O2302" s="5"/>
      <c r="P2302" s="5"/>
      <c r="Q2302" s="5"/>
      <c r="R2302" s="5"/>
      <c r="S2302" s="5"/>
      <c r="T2302" s="5"/>
      <c r="U2302" s="5"/>
      <c r="V2302" s="5"/>
      <c r="W2302" s="5"/>
      <c r="X2302" s="5"/>
      <c r="Y2302" s="5"/>
      <c r="Z2302" s="5"/>
    </row>
    <row r="2303" spans="1:26" ht="15.6" x14ac:dyDescent="0.3">
      <c r="A2303" s="18" t="s">
        <v>5</v>
      </c>
      <c r="B2303" s="25" t="s">
        <v>2298</v>
      </c>
      <c r="C2303" s="2" t="str">
        <f ca="1">IFERROR(__xludf.DUMMYFUNCTION("GOOGLETRANSLATE(B2303, ""bn"", ""en"")"),"In February, Dr. Dhirendra Dutta, a family member of a journalist, was brutally stabbed to death in Feni due to religious hatred.")</f>
        <v>In February, Dr. Dhirendra Dutta, a family member of a journalist, was brutally stabbed to death in Feni due to religious hatred.</v>
      </c>
      <c r="D2303" s="5"/>
      <c r="E2303" s="5"/>
      <c r="F2303" s="5"/>
      <c r="G2303" s="5"/>
      <c r="H2303" s="5"/>
      <c r="I2303" s="5"/>
      <c r="J2303" s="5"/>
      <c r="K2303" s="5"/>
      <c r="L2303" s="5"/>
      <c r="M2303" s="5"/>
      <c r="N2303" s="5"/>
      <c r="O2303" s="5"/>
      <c r="P2303" s="5"/>
      <c r="Q2303" s="5"/>
      <c r="R2303" s="5"/>
      <c r="S2303" s="5"/>
      <c r="T2303" s="5"/>
      <c r="U2303" s="5"/>
      <c r="V2303" s="5"/>
      <c r="W2303" s="5"/>
      <c r="X2303" s="5"/>
      <c r="Y2303" s="5"/>
      <c r="Z2303" s="5"/>
    </row>
    <row r="2304" spans="1:26" ht="15.6" x14ac:dyDescent="0.3">
      <c r="A2304" s="19" t="s">
        <v>5</v>
      </c>
      <c r="B2304" s="26" t="s">
        <v>2299</v>
      </c>
      <c r="C2304" s="2" t="str">
        <f ca="1">IFERROR(__xludf.DUMMYFUNCTION("GOOGLETRANSLATE(B2304, ""bn"", ""en"")"),"Pilgrims visit the Chandranath temple in Sitakunda on the day of Shivaratri on February 15. However, Hindu massacres started in East Bengal from February 10 and spread to Chittagong on February 12. The administration threatened to stop Hindu fairs.")</f>
        <v>Pilgrims visit the Chandranath temple in Sitakunda on the day of Shivaratri on February 15. However, Hindu massacres started in East Bengal from February 10 and spread to Chittagong on February 12. The administration threatened to stop Hindu fairs.</v>
      </c>
      <c r="D2304" s="7"/>
      <c r="E2304" s="7"/>
      <c r="F2304" s="7"/>
      <c r="G2304" s="7"/>
      <c r="H2304" s="7"/>
      <c r="I2304" s="7"/>
      <c r="J2304" s="7"/>
      <c r="K2304" s="7"/>
      <c r="L2304" s="7"/>
      <c r="M2304" s="7"/>
      <c r="N2304" s="7"/>
      <c r="O2304" s="7"/>
      <c r="P2304" s="7"/>
      <c r="Q2304" s="7"/>
      <c r="R2304" s="5"/>
      <c r="S2304" s="5"/>
      <c r="T2304" s="5"/>
      <c r="U2304" s="5"/>
      <c r="V2304" s="5"/>
      <c r="W2304" s="5"/>
      <c r="X2304" s="5"/>
      <c r="Y2304" s="5"/>
      <c r="Z2304" s="5"/>
    </row>
    <row r="2305" spans="1:26" ht="15.6" x14ac:dyDescent="0.3">
      <c r="A2305" s="18" t="s">
        <v>3</v>
      </c>
      <c r="B2305" s="25" t="s">
        <v>2300</v>
      </c>
      <c r="C2305" s="2" t="str">
        <f ca="1">IFERROR(__xludf.DUMMYFUNCTION("GOOGLETRANSLATE(B2305, ""bn"", ""en"")"),"It is mentioned in the Qur'an that homosexuality was taught through the incident of the people of Lut (pbuh). Acquiring knowledge is very valuable, and trying to understand the meaning of the Qur'an is also important.")</f>
        <v>It is mentioned in the Qur'an that homosexuality was taught through the incident of the people of Lut (pbuh). Acquiring knowledge is very valuable, and trying to understand the meaning of the Qur'an is also important.</v>
      </c>
      <c r="D2305" s="5"/>
      <c r="E2305" s="5"/>
      <c r="F2305" s="5"/>
      <c r="G2305" s="5"/>
      <c r="H2305" s="5"/>
      <c r="I2305" s="5"/>
      <c r="J2305" s="5"/>
      <c r="K2305" s="5"/>
      <c r="L2305" s="5"/>
      <c r="M2305" s="5"/>
      <c r="N2305" s="5"/>
      <c r="O2305" s="5"/>
      <c r="P2305" s="5"/>
      <c r="Q2305" s="5"/>
      <c r="R2305" s="5"/>
      <c r="S2305" s="5"/>
      <c r="T2305" s="5"/>
      <c r="U2305" s="5"/>
      <c r="V2305" s="5"/>
      <c r="W2305" s="5"/>
      <c r="X2305" s="5"/>
      <c r="Y2305" s="5"/>
      <c r="Z2305" s="5"/>
    </row>
    <row r="2306" spans="1:26" ht="15.6" x14ac:dyDescent="0.3">
      <c r="A2306" s="18" t="s">
        <v>8</v>
      </c>
      <c r="B2306" s="24" t="s">
        <v>2301</v>
      </c>
      <c r="C2306" s="2" t="str">
        <f ca="1">IFERROR(__xludf.DUMMYFUNCTION("GOOGLETRANSLATE(B2306, ""bn"", ""en"")"),"In Rajbari, a mosque vandalized and miscreants left obscene letters inside.")</f>
        <v>In Rajbari, a mosque vandalized and miscreants left obscene letters inside.</v>
      </c>
      <c r="D2306" s="5"/>
      <c r="E2306" s="5"/>
      <c r="F2306" s="5"/>
      <c r="G2306" s="5"/>
      <c r="H2306" s="5"/>
      <c r="I2306" s="5"/>
      <c r="J2306" s="5"/>
      <c r="K2306" s="5"/>
      <c r="L2306" s="5"/>
      <c r="M2306" s="5"/>
      <c r="N2306" s="5"/>
      <c r="O2306" s="5"/>
      <c r="P2306" s="5"/>
      <c r="Q2306" s="5"/>
      <c r="R2306" s="5"/>
      <c r="S2306" s="5"/>
      <c r="T2306" s="5"/>
      <c r="U2306" s="5"/>
      <c r="V2306" s="5"/>
      <c r="W2306" s="5"/>
      <c r="X2306" s="5"/>
      <c r="Y2306" s="5"/>
      <c r="Z2306" s="5"/>
    </row>
    <row r="2307" spans="1:26" ht="15.6" x14ac:dyDescent="0.3">
      <c r="A2307" s="19" t="s">
        <v>5</v>
      </c>
      <c r="B2307" s="26" t="s">
        <v>2302</v>
      </c>
      <c r="C2307" s="2" t="str">
        <f ca="1">IFERROR(__xludf.DUMMYFUNCTION("GOOGLETRANSLATE(B2307, ""bn"", ""en"")"),"The Bombay riots were sparked by the demolition of the Babri Masjid in 1992, in which an estimated 900 people were killed, 2,036 injured and thousands displaced by police firing.")</f>
        <v>The Bombay riots were sparked by the demolition of the Babri Masjid in 1992, in which an estimated 900 people were killed, 2,036 injured and thousands displaced by police firing.</v>
      </c>
      <c r="D2307" s="7"/>
      <c r="E2307" s="7"/>
      <c r="F2307" s="7"/>
      <c r="G2307" s="7"/>
      <c r="H2307" s="7"/>
      <c r="I2307" s="7"/>
      <c r="J2307" s="7"/>
      <c r="K2307" s="7"/>
      <c r="L2307" s="7"/>
      <c r="M2307" s="5"/>
      <c r="N2307" s="5"/>
      <c r="O2307" s="5"/>
      <c r="P2307" s="5"/>
      <c r="Q2307" s="5"/>
      <c r="R2307" s="5"/>
      <c r="S2307" s="5"/>
      <c r="T2307" s="5"/>
      <c r="U2307" s="5"/>
      <c r="V2307" s="5"/>
      <c r="W2307" s="5"/>
      <c r="X2307" s="5"/>
      <c r="Y2307" s="5"/>
      <c r="Z2307" s="5"/>
    </row>
    <row r="2308" spans="1:26" ht="15.6" x14ac:dyDescent="0.3">
      <c r="A2308" s="19" t="s">
        <v>8</v>
      </c>
      <c r="B2308" s="26" t="s">
        <v>2303</v>
      </c>
      <c r="C2308" s="2" t="str">
        <f ca="1">IFERROR(__xludf.DUMMYFUNCTION("GOOGLETRANSLATE(B2308, ""bn"", ""en"")"),"They vandalized Buddhist religious buildings and statues, destroying the cultural resources of the Buddhist community.")</f>
        <v>They vandalized Buddhist religious buildings and statues, destroying the cultural resources of the Buddhist community.</v>
      </c>
      <c r="D2308" s="7"/>
      <c r="E2308" s="7"/>
      <c r="F2308" s="5"/>
      <c r="G2308" s="5"/>
      <c r="H2308" s="5"/>
      <c r="I2308" s="5"/>
      <c r="J2308" s="5"/>
      <c r="K2308" s="5"/>
      <c r="L2308" s="5"/>
      <c r="M2308" s="5"/>
      <c r="N2308" s="5"/>
      <c r="O2308" s="5"/>
      <c r="P2308" s="5"/>
      <c r="Q2308" s="5"/>
      <c r="R2308" s="5"/>
      <c r="S2308" s="5"/>
      <c r="T2308" s="5"/>
      <c r="U2308" s="5"/>
      <c r="V2308" s="5"/>
      <c r="W2308" s="5"/>
      <c r="X2308" s="5"/>
      <c r="Y2308" s="5"/>
      <c r="Z2308" s="5"/>
    </row>
    <row r="2309" spans="1:26" ht="15.6" x14ac:dyDescent="0.3">
      <c r="A2309" s="18" t="s">
        <v>23</v>
      </c>
      <c r="B2309" s="25" t="s">
        <v>2304</v>
      </c>
      <c r="C2309" s="2" t="str">
        <f ca="1">IFERROR(__xludf.DUMMYFUNCTION("GOOGLETRANSLATE(B2309, ""bn"", ""en"")"),"It is clear by looking at the post who are the religious fanatics The boy never plays religion card, sympathy card like the girl")</f>
        <v>It is clear by looking at the post who are the religious fanatics The boy never plays religion card, sympathy card like the girl</v>
      </c>
      <c r="D2309" s="5"/>
      <c r="E2309" s="5"/>
      <c r="F2309" s="5"/>
      <c r="G2309" s="5"/>
      <c r="H2309" s="5"/>
      <c r="I2309" s="5"/>
      <c r="J2309" s="5"/>
      <c r="K2309" s="5"/>
      <c r="L2309" s="5"/>
      <c r="M2309" s="5"/>
      <c r="N2309" s="5"/>
      <c r="O2309" s="5"/>
      <c r="P2309" s="5"/>
      <c r="Q2309" s="5"/>
      <c r="R2309" s="5"/>
      <c r="S2309" s="5"/>
      <c r="T2309" s="5"/>
      <c r="U2309" s="5"/>
      <c r="V2309" s="5"/>
      <c r="W2309" s="5"/>
      <c r="X2309" s="5"/>
      <c r="Y2309" s="5"/>
      <c r="Z2309" s="5"/>
    </row>
    <row r="2310" spans="1:26" ht="15.6" x14ac:dyDescent="0.3">
      <c r="A2310" s="19" t="s">
        <v>5</v>
      </c>
      <c r="B2310" s="26" t="s">
        <v>2305</v>
      </c>
      <c r="C2310" s="2" t="str">
        <f ca="1">IFERROR(__xludf.DUMMYFUNCTION("GOOGLETRANSLATE(B2310, ""bn"", ""en"")"),"Thousands of Hindus were forcibly uprooted and many killed, which is a controversial issue.")</f>
        <v>Thousands of Hindus were forcibly uprooted and many killed, which is a controversial issue.</v>
      </c>
      <c r="D2310" s="7"/>
      <c r="E2310" s="7"/>
      <c r="F2310" s="7"/>
      <c r="G2310" s="5"/>
      <c r="H2310" s="5"/>
      <c r="I2310" s="5"/>
      <c r="J2310" s="5"/>
      <c r="K2310" s="5"/>
      <c r="L2310" s="5"/>
      <c r="M2310" s="5"/>
      <c r="N2310" s="5"/>
      <c r="O2310" s="5"/>
      <c r="P2310" s="5"/>
      <c r="Q2310" s="5"/>
      <c r="R2310" s="5"/>
      <c r="S2310" s="5"/>
      <c r="T2310" s="5"/>
      <c r="U2310" s="5"/>
      <c r="V2310" s="5"/>
      <c r="W2310" s="5"/>
      <c r="X2310" s="5"/>
      <c r="Y2310" s="5"/>
      <c r="Z2310" s="5"/>
    </row>
    <row r="2311" spans="1:26" ht="15.6" x14ac:dyDescent="0.3">
      <c r="A2311" s="18" t="s">
        <v>3</v>
      </c>
      <c r="B2311" s="25" t="s">
        <v>2306</v>
      </c>
      <c r="C2311" s="2" t="str">
        <f ca="1">IFERROR(__xludf.DUMMYFUNCTION("GOOGLETRANSLATE(B2311, ""bn"", ""en"")"),"My religion also teaches that exaggeration of religion is forbidden. Everyone has the right to practice their religion. It is wrong to make negative comments about someone's religion or to impose one's religion on others.")</f>
        <v>My religion also teaches that exaggeration of religion is forbidden. Everyone has the right to practice their religion. It is wrong to make negative comments about someone's religion or to impose one's religion on others.</v>
      </c>
      <c r="D2311" s="2"/>
      <c r="E2311" s="2"/>
      <c r="F2311" s="2"/>
      <c r="G2311" s="2"/>
      <c r="H2311" s="3"/>
      <c r="I2311" s="3"/>
      <c r="J2311" s="3"/>
      <c r="K2311" s="3"/>
      <c r="L2311" s="3"/>
      <c r="M2311" s="3"/>
      <c r="N2311" s="3"/>
      <c r="O2311" s="3"/>
      <c r="P2311" s="3"/>
      <c r="Q2311" s="3"/>
      <c r="R2311" s="3"/>
      <c r="S2311" s="3"/>
      <c r="T2311" s="3"/>
      <c r="U2311" s="3"/>
      <c r="V2311" s="3"/>
      <c r="W2311" s="3"/>
      <c r="X2311" s="3"/>
      <c r="Y2311" s="3"/>
      <c r="Z2311" s="3"/>
    </row>
    <row r="2312" spans="1:26" ht="15.6" x14ac:dyDescent="0.3">
      <c r="A2312" s="18" t="s">
        <v>8</v>
      </c>
      <c r="B2312" s="25" t="s">
        <v>2307</v>
      </c>
      <c r="C2312" s="2" t="str">
        <f ca="1">IFERROR(__xludf.DUMMYFUNCTION("GOOGLETRANSLATE(B2312, ""bn"", ""en"")"),"In 2005-06, the Kazakh government forcibly evicted the ashrams and homes of members of the International Society for Black Consciousness near Almaty. Community members are harassed in various ways.")</f>
        <v>In 2005-06, the Kazakh government forcibly evicted the ashrams and homes of members of the International Society for Black Consciousness near Almaty. Community members are harassed in various ways.</v>
      </c>
      <c r="D2312" s="5"/>
      <c r="E2312" s="5"/>
      <c r="F2312" s="5"/>
      <c r="G2312" s="5"/>
      <c r="H2312" s="5"/>
      <c r="I2312" s="5"/>
      <c r="J2312" s="5"/>
      <c r="K2312" s="5"/>
      <c r="L2312" s="5"/>
      <c r="M2312" s="5"/>
      <c r="N2312" s="5"/>
      <c r="O2312" s="5"/>
      <c r="P2312" s="5"/>
      <c r="Q2312" s="5"/>
      <c r="R2312" s="5"/>
      <c r="S2312" s="5"/>
      <c r="T2312" s="5"/>
      <c r="U2312" s="5"/>
      <c r="V2312" s="5"/>
      <c r="W2312" s="5"/>
      <c r="X2312" s="5"/>
      <c r="Y2312" s="5"/>
      <c r="Z2312" s="5"/>
    </row>
    <row r="2313" spans="1:26" ht="15.6" x14ac:dyDescent="0.3">
      <c r="A2313" s="18" t="s">
        <v>8</v>
      </c>
      <c r="B2313" s="25" t="s">
        <v>2308</v>
      </c>
      <c r="C2313" s="2" t="str">
        <f ca="1">IFERROR(__xludf.DUMMYFUNCTION("GOOGLETRANSLATE(B2313, ""bn"", ""en"")"),"December 6, 1992 was a Sunday. Hundreds of thousands of radical Hindus who gathered in Ayodhya on that day demolished the Babri Masjid, built more than 450 years ago. Hundreds of Hindutva activists were killed in clashes with the police while trying to st"&amp;"op them.")</f>
        <v>December 6, 1992 was a Sunday. Hundreds of thousands of radical Hindus who gathered in Ayodhya on that day demolished the Babri Masjid, built more than 450 years ago. Hundreds of Hindutva activists were killed in clashes with the police while trying to stop them.</v>
      </c>
      <c r="D2313" s="5"/>
      <c r="E2313" s="5"/>
      <c r="F2313" s="5"/>
      <c r="G2313" s="5"/>
      <c r="H2313" s="5"/>
      <c r="I2313" s="5"/>
      <c r="J2313" s="5"/>
      <c r="K2313" s="5"/>
      <c r="L2313" s="5"/>
      <c r="M2313" s="5"/>
      <c r="N2313" s="5"/>
      <c r="O2313" s="5"/>
      <c r="P2313" s="5"/>
      <c r="Q2313" s="5"/>
      <c r="R2313" s="5"/>
      <c r="S2313" s="5"/>
      <c r="T2313" s="5"/>
      <c r="U2313" s="5"/>
      <c r="V2313" s="5"/>
      <c r="W2313" s="5"/>
      <c r="X2313" s="5"/>
      <c r="Y2313" s="5"/>
      <c r="Z2313" s="5"/>
    </row>
    <row r="2314" spans="1:26" ht="15.6" x14ac:dyDescent="0.3">
      <c r="A2314" s="18" t="s">
        <v>8</v>
      </c>
      <c r="B2314" s="24" t="s">
        <v>2309</v>
      </c>
      <c r="C2314" s="2" t="str">
        <f ca="1">IFERROR(__xludf.DUMMYFUNCTION("GOOGLETRANSLATE(B2314, ""bn"", ""en"")"),"A wooden idol of Lakshmi-Saraswati was set on fire in a temple in Gazipur.")</f>
        <v>A wooden idol of Lakshmi-Saraswati was set on fire in a temple in Gazipur.</v>
      </c>
      <c r="D2314" s="5"/>
      <c r="E2314" s="5"/>
      <c r="F2314" s="5"/>
      <c r="G2314" s="5"/>
      <c r="H2314" s="5"/>
      <c r="I2314" s="5"/>
      <c r="J2314" s="5"/>
      <c r="K2314" s="5"/>
      <c r="L2314" s="5"/>
      <c r="M2314" s="5"/>
      <c r="N2314" s="5"/>
      <c r="O2314" s="5"/>
      <c r="P2314" s="5"/>
      <c r="Q2314" s="5"/>
      <c r="R2314" s="5"/>
      <c r="S2314" s="5"/>
      <c r="T2314" s="5"/>
      <c r="U2314" s="5"/>
      <c r="V2314" s="5"/>
      <c r="W2314" s="5"/>
      <c r="X2314" s="5"/>
      <c r="Y2314" s="5"/>
      <c r="Z2314" s="5"/>
    </row>
    <row r="2315" spans="1:26" ht="15.6" x14ac:dyDescent="0.3">
      <c r="A2315" s="18" t="s">
        <v>23</v>
      </c>
      <c r="B2315" s="25" t="s">
        <v>2310</v>
      </c>
      <c r="C2315" s="2" t="str">
        <f ca="1">IFERROR(__xludf.DUMMYFUNCTION("GOOGLETRANSLATE(B2315, ""bn"", ""en"")"),"Do Muslim students not study in Dhaka University? Why are they silent? Or are they avoiding the fear of a political party?")</f>
        <v>Do Muslim students not study in Dhaka University? Why are they silent? Or are they avoiding the fear of a political party?</v>
      </c>
      <c r="D2315" s="5"/>
      <c r="E2315" s="5"/>
      <c r="F2315" s="5"/>
      <c r="G2315" s="5"/>
      <c r="H2315" s="5"/>
      <c r="I2315" s="5"/>
      <c r="J2315" s="5"/>
      <c r="K2315" s="5"/>
      <c r="L2315" s="5"/>
      <c r="M2315" s="5"/>
      <c r="N2315" s="5"/>
      <c r="O2315" s="5"/>
      <c r="P2315" s="5"/>
      <c r="Q2315" s="5"/>
      <c r="R2315" s="5"/>
      <c r="S2315" s="5"/>
      <c r="T2315" s="5"/>
      <c r="U2315" s="5"/>
      <c r="V2315" s="5"/>
      <c r="W2315" s="5"/>
      <c r="X2315" s="5"/>
      <c r="Y2315" s="5"/>
      <c r="Z2315" s="5"/>
    </row>
    <row r="2316" spans="1:26" ht="15.6" x14ac:dyDescent="0.3">
      <c r="A2316" s="18" t="s">
        <v>8</v>
      </c>
      <c r="B2316" s="24" t="s">
        <v>2311</v>
      </c>
      <c r="C2316" s="2" t="str">
        <f ca="1">IFERROR(__xludf.DUMMYFUNCTION("GOOGLETRANSLATE(B2316, ""bn"", ""en"")"),"On 3 July 2024, the eyes of an idol at an ancient Vishnu temple at Dumuria in Khulna were plucked out in the dark of night.")</f>
        <v>On 3 July 2024, the eyes of an idol at an ancient Vishnu temple at Dumuria in Khulna were plucked out in the dark of night.</v>
      </c>
      <c r="D2316" s="5"/>
      <c r="E2316" s="5"/>
      <c r="F2316" s="5"/>
      <c r="G2316" s="5"/>
      <c r="H2316" s="5"/>
      <c r="I2316" s="5"/>
      <c r="J2316" s="5"/>
      <c r="K2316" s="5"/>
      <c r="L2316" s="5"/>
      <c r="M2316" s="5"/>
      <c r="N2316" s="5"/>
      <c r="O2316" s="5"/>
      <c r="P2316" s="5"/>
      <c r="Q2316" s="5"/>
      <c r="R2316" s="5"/>
      <c r="S2316" s="5"/>
      <c r="T2316" s="5"/>
      <c r="U2316" s="5"/>
      <c r="V2316" s="5"/>
      <c r="W2316" s="5"/>
      <c r="X2316" s="5"/>
      <c r="Y2316" s="5"/>
      <c r="Z2316" s="5"/>
    </row>
    <row r="2317" spans="1:26" ht="15.6" x14ac:dyDescent="0.3">
      <c r="A2317" s="18" t="s">
        <v>5</v>
      </c>
      <c r="B2317" s="25" t="s">
        <v>2312</v>
      </c>
      <c r="C2317" s="2" t="str">
        <f ca="1">IFERROR(__xludf.DUMMYFUNCTION("GOOGLETRANSLATE(B2317, ""bn"", ""en"")"),"In 2016, extremist groups killed a Hindu priest in Bogra, part of violence against religious minorities.")</f>
        <v>In 2016, extremist groups killed a Hindu priest in Bogra, part of violence against religious minorities.</v>
      </c>
      <c r="D2317" s="5"/>
      <c r="E2317" s="5"/>
      <c r="F2317" s="5"/>
      <c r="G2317" s="5"/>
      <c r="H2317" s="5"/>
      <c r="I2317" s="5"/>
      <c r="J2317" s="5"/>
      <c r="K2317" s="5"/>
      <c r="L2317" s="5"/>
      <c r="M2317" s="5"/>
      <c r="N2317" s="5"/>
      <c r="O2317" s="5"/>
      <c r="P2317" s="5"/>
      <c r="Q2317" s="5"/>
      <c r="R2317" s="5"/>
      <c r="S2317" s="5"/>
      <c r="T2317" s="5"/>
      <c r="U2317" s="5"/>
      <c r="V2317" s="5"/>
      <c r="W2317" s="5"/>
      <c r="X2317" s="5"/>
      <c r="Y2317" s="5"/>
      <c r="Z2317" s="5"/>
    </row>
    <row r="2318" spans="1:26" ht="15.6" x14ac:dyDescent="0.3">
      <c r="A2318" s="18" t="s">
        <v>23</v>
      </c>
      <c r="B2318" s="25" t="s">
        <v>2313</v>
      </c>
      <c r="C2318" s="2" t="str">
        <f ca="1">IFERROR(__xludf.DUMMYFUNCTION("GOOGLETRANSLATE(B2318, ""bn"", ""en"")"),"It is a shame to say that Bangladesh is a country of Muslims, because there are some nominal Muslims who get away with wrongdoing repeatedly. Why have they not been brought under the law yet?")</f>
        <v>It is a shame to say that Bangladesh is a country of Muslims, because there are some nominal Muslims who get away with wrongdoing repeatedly. Why have they not been brought under the law yet?</v>
      </c>
      <c r="D2318" s="2"/>
      <c r="E2318" s="2"/>
      <c r="F2318" s="2"/>
      <c r="G2318" s="2"/>
      <c r="H2318" s="3"/>
      <c r="I2318" s="3"/>
      <c r="J2318" s="3"/>
      <c r="K2318" s="3"/>
      <c r="L2318" s="3"/>
      <c r="M2318" s="3"/>
      <c r="N2318" s="3"/>
      <c r="O2318" s="3"/>
      <c r="P2318" s="3"/>
      <c r="Q2318" s="3"/>
      <c r="R2318" s="3"/>
      <c r="S2318" s="3"/>
      <c r="T2318" s="3"/>
      <c r="U2318" s="3"/>
      <c r="V2318" s="3"/>
      <c r="W2318" s="3"/>
      <c r="X2318" s="3"/>
      <c r="Y2318" s="3"/>
      <c r="Z2318" s="3"/>
    </row>
    <row r="2319" spans="1:26" ht="15.6" x14ac:dyDescent="0.3">
      <c r="A2319" s="18" t="s">
        <v>8</v>
      </c>
      <c r="B2319" s="25" t="s">
        <v>2314</v>
      </c>
      <c r="C2319" s="2" t="str">
        <f ca="1">IFERROR(__xludf.DUMMYFUNCTION("GOOGLETRANSLATE(B2319, ""bn"", ""en"")"),"More than 5000 or about 20000 extremists attacked Hindus with sticks. Hindu houses and businesses were looted. Their houses were demolished.")</f>
        <v>More than 5000 or about 20000 extremists attacked Hindus with sticks. Hindu houses and businesses were looted. Their houses were demolished.</v>
      </c>
      <c r="D2319" s="2"/>
      <c r="E2319" s="2"/>
      <c r="F2319" s="2"/>
      <c r="G2319" s="2"/>
      <c r="H2319" s="5"/>
      <c r="I2319" s="5"/>
      <c r="J2319" s="5"/>
      <c r="K2319" s="5"/>
      <c r="L2319" s="5"/>
      <c r="M2319" s="5"/>
      <c r="N2319" s="5"/>
      <c r="O2319" s="5"/>
      <c r="P2319" s="5"/>
      <c r="Q2319" s="5"/>
      <c r="R2319" s="5"/>
      <c r="S2319" s="5"/>
      <c r="T2319" s="5"/>
      <c r="U2319" s="5"/>
      <c r="V2319" s="5"/>
      <c r="W2319" s="5"/>
      <c r="X2319" s="5"/>
      <c r="Y2319" s="5"/>
      <c r="Z2319" s="5"/>
    </row>
    <row r="2320" spans="1:26" ht="15.6" x14ac:dyDescent="0.3">
      <c r="A2320" s="18" t="s">
        <v>23</v>
      </c>
      <c r="B2320" s="25" t="s">
        <v>2315</v>
      </c>
      <c r="C2320" s="2" t="str">
        <f ca="1">IFERROR(__xludf.DUMMYFUNCTION("GOOGLETRANSLATE(B2320, ""bn"", ""en"")"),"In different countries of the world, religious harmony is seen to be destroyed more or less. Communal harmony is being destroyed. In religion there are injuries, violence, fights and disruptive programs.")</f>
        <v>In different countries of the world, religious harmony is seen to be destroyed more or less. Communal harmony is being destroyed. In religion there are injuries, violence, fights and disruptive programs.</v>
      </c>
      <c r="D2320" s="5"/>
      <c r="E2320" s="5"/>
      <c r="F2320" s="5"/>
      <c r="G2320" s="5"/>
      <c r="H2320" s="5"/>
      <c r="I2320" s="5"/>
      <c r="J2320" s="5"/>
      <c r="K2320" s="5"/>
      <c r="L2320" s="5"/>
      <c r="M2320" s="5"/>
      <c r="N2320" s="5"/>
      <c r="O2320" s="5"/>
      <c r="P2320" s="5"/>
      <c r="Q2320" s="5"/>
      <c r="R2320" s="5"/>
      <c r="S2320" s="5"/>
      <c r="T2320" s="5"/>
      <c r="U2320" s="5"/>
      <c r="V2320" s="5"/>
      <c r="W2320" s="5"/>
      <c r="X2320" s="5"/>
      <c r="Y2320" s="5"/>
      <c r="Z2320" s="5"/>
    </row>
    <row r="2321" spans="1:26" ht="15.6" x14ac:dyDescent="0.3">
      <c r="A2321" s="19" t="s">
        <v>3</v>
      </c>
      <c r="B2321" s="26" t="s">
        <v>2316</v>
      </c>
      <c r="C2321" s="2" t="str">
        <f ca="1">IFERROR(__xludf.DUMMYFUNCTION("GOOGLETRANSLATE(B2321, ""bn"", ""en"")"),"The core teaching of Jainism is non-violence, meaning kindness and benevolence towards all living beings, which ensures peace and prosperity.")</f>
        <v>The core teaching of Jainism is non-violence, meaning kindness and benevolence towards all living beings, which ensures peace and prosperity.</v>
      </c>
      <c r="D2321" s="7"/>
      <c r="E2321" s="7"/>
      <c r="F2321" s="7"/>
      <c r="G2321" s="5"/>
      <c r="H2321" s="5"/>
      <c r="I2321" s="5"/>
      <c r="J2321" s="5"/>
      <c r="K2321" s="5"/>
      <c r="L2321" s="5"/>
      <c r="M2321" s="5"/>
      <c r="N2321" s="5"/>
      <c r="O2321" s="5"/>
      <c r="P2321" s="5"/>
      <c r="Q2321" s="5"/>
      <c r="R2321" s="5"/>
      <c r="S2321" s="5"/>
      <c r="T2321" s="5"/>
      <c r="U2321" s="5"/>
      <c r="V2321" s="5"/>
      <c r="W2321" s="5"/>
      <c r="X2321" s="5"/>
      <c r="Y2321" s="5"/>
      <c r="Z2321" s="5"/>
    </row>
    <row r="2322" spans="1:26" ht="15.6" x14ac:dyDescent="0.3">
      <c r="A2322" s="18" t="s">
        <v>5</v>
      </c>
      <c r="B2322" s="24" t="s">
        <v>2317</v>
      </c>
      <c r="C2322" s="2" t="str">
        <f ca="1">IFERROR(__xludf.DUMMYFUNCTION("GOOGLETRANSLATE(B2322, ""bn"", ""en"")"),"At least 39 people were killed in the attack on minority Hindus in Kurigram. The attackers burnt their houses and temples. Security forces failed to act quickly.")</f>
        <v>At least 39 people were killed in the attack on minority Hindus in Kurigram. The attackers burnt their houses and temples. Security forces failed to act quickly.</v>
      </c>
      <c r="D2322" s="5"/>
      <c r="E2322" s="5"/>
      <c r="F2322" s="5"/>
      <c r="G2322" s="5"/>
      <c r="H2322" s="5"/>
      <c r="I2322" s="5"/>
      <c r="J2322" s="5"/>
      <c r="K2322" s="5"/>
      <c r="L2322" s="5"/>
      <c r="M2322" s="5"/>
      <c r="N2322" s="5"/>
      <c r="O2322" s="5"/>
      <c r="P2322" s="5"/>
      <c r="Q2322" s="5"/>
      <c r="R2322" s="5"/>
      <c r="S2322" s="5"/>
      <c r="T2322" s="5"/>
      <c r="U2322" s="5"/>
      <c r="V2322" s="5"/>
      <c r="W2322" s="5"/>
      <c r="X2322" s="5"/>
      <c r="Y2322" s="5"/>
      <c r="Z2322" s="5"/>
    </row>
    <row r="2323" spans="1:26" ht="15.6" x14ac:dyDescent="0.3">
      <c r="A2323" s="19" t="s">
        <v>5</v>
      </c>
      <c r="B2323" s="26" t="s">
        <v>2318</v>
      </c>
      <c r="C2323" s="2" t="str">
        <f ca="1">IFERROR(__xludf.DUMMYFUNCTION("GOOGLETRANSLATE(B2323, ""bn"", ""en"")"),"Yesterday was August 16. History of 78 years ago. Most Hindus may not know the relevance of the day to the present generation. Therefore, a re-evaluation of this history closed in the coffin is absolutely necessary. The streets of Calcutta itself became b"&amp;"loody due to the joint initiative of the Muslim League and the Left.")</f>
        <v>Yesterday was August 16. History of 78 years ago. Most Hindus may not know the relevance of the day to the present generation. Therefore, a re-evaluation of this history closed in the coffin is absolutely necessary. The streets of Calcutta itself became bloody due to the joint initiative of the Muslim League and the Left.</v>
      </c>
      <c r="D2323" s="7"/>
      <c r="E2323" s="7"/>
      <c r="F2323" s="5"/>
      <c r="G2323" s="5"/>
      <c r="H2323" s="5"/>
      <c r="I2323" s="5"/>
      <c r="J2323" s="5"/>
      <c r="K2323" s="5"/>
      <c r="L2323" s="5"/>
      <c r="M2323" s="5"/>
      <c r="N2323" s="5"/>
      <c r="O2323" s="5"/>
      <c r="P2323" s="5"/>
      <c r="Q2323" s="5"/>
      <c r="R2323" s="5"/>
      <c r="S2323" s="5"/>
      <c r="T2323" s="5"/>
      <c r="U2323" s="5"/>
      <c r="V2323" s="5"/>
      <c r="W2323" s="5"/>
      <c r="X2323" s="5"/>
      <c r="Y2323" s="5"/>
      <c r="Z2323" s="5"/>
    </row>
    <row r="2324" spans="1:26" ht="15.6" x14ac:dyDescent="0.3">
      <c r="A2324" s="18" t="s">
        <v>23</v>
      </c>
      <c r="B2324" s="25" t="s">
        <v>2319</v>
      </c>
      <c r="C2324" s="2" t="str">
        <f ca="1">IFERROR(__xludf.DUMMYFUNCTION("GOOGLETRANSLATE(B2324, ""bn"", ""en"")"),"Muslim world should wake up to teach that Islam should be insulted, suppress those who insult Quran O Allah.")</f>
        <v>Muslim world should wake up to teach that Islam should be insulted, suppress those who insult Quran O Allah.</v>
      </c>
      <c r="D2324" s="5"/>
      <c r="E2324" s="5"/>
      <c r="F2324" s="5"/>
      <c r="G2324" s="5"/>
      <c r="H2324" s="5"/>
      <c r="I2324" s="5"/>
      <c r="J2324" s="5"/>
      <c r="K2324" s="5"/>
      <c r="L2324" s="5"/>
      <c r="M2324" s="5"/>
      <c r="N2324" s="5"/>
      <c r="O2324" s="5"/>
      <c r="P2324" s="5"/>
      <c r="Q2324" s="5"/>
      <c r="R2324" s="5"/>
      <c r="S2324" s="5"/>
      <c r="T2324" s="5"/>
      <c r="U2324" s="5"/>
      <c r="V2324" s="5"/>
      <c r="W2324" s="5"/>
      <c r="X2324" s="5"/>
      <c r="Y2324" s="5"/>
      <c r="Z2324" s="5"/>
    </row>
    <row r="2325" spans="1:26" ht="15.6" x14ac:dyDescent="0.3">
      <c r="A2325" s="19" t="s">
        <v>8</v>
      </c>
      <c r="B2325" s="26" t="s">
        <v>2320</v>
      </c>
      <c r="C2325" s="2" t="str">
        <f ca="1">IFERROR(__xludf.DUMMYFUNCTION("GOOGLETRANSLATE(B2325, ""bn"", ""en"")"),"Religious leaders surrounded the house of Hindu youth to prevent conversion in Gopalganj, later the scholar was beaten up.")</f>
        <v>Religious leaders surrounded the house of Hindu youth to prevent conversion in Gopalganj, later the scholar was beaten up.</v>
      </c>
      <c r="D2325" s="5"/>
      <c r="E2325" s="5"/>
      <c r="F2325" s="5"/>
      <c r="G2325" s="5"/>
      <c r="H2325" s="5"/>
      <c r="I2325" s="5"/>
      <c r="J2325" s="5"/>
      <c r="K2325" s="5"/>
      <c r="L2325" s="5"/>
      <c r="M2325" s="5"/>
      <c r="N2325" s="5"/>
      <c r="O2325" s="5"/>
      <c r="P2325" s="5"/>
      <c r="Q2325" s="5"/>
      <c r="R2325" s="5"/>
      <c r="S2325" s="5"/>
      <c r="T2325" s="5"/>
      <c r="U2325" s="5"/>
      <c r="V2325" s="5"/>
      <c r="W2325" s="5"/>
      <c r="X2325" s="5"/>
      <c r="Y2325" s="5"/>
      <c r="Z2325" s="5"/>
    </row>
    <row r="2326" spans="1:26" ht="15.6" x14ac:dyDescent="0.3">
      <c r="A2326" s="18" t="s">
        <v>5</v>
      </c>
      <c r="B2326" s="25" t="s">
        <v>2321</v>
      </c>
      <c r="C2326" s="2" t="str">
        <f ca="1">IFERROR(__xludf.DUMMYFUNCTION("GOOGLETRANSLATE(B2326, ""bn"", ""en"")"),"Government-backed forces carried out mass killings of Mayan indigenous people, killing thousands.")</f>
        <v>Government-backed forces carried out mass killings of Mayan indigenous people, killing thousands.</v>
      </c>
      <c r="D2326" s="5"/>
      <c r="E2326" s="5"/>
      <c r="F2326" s="5"/>
      <c r="G2326" s="5"/>
      <c r="H2326" s="5"/>
      <c r="I2326" s="5"/>
      <c r="J2326" s="5"/>
      <c r="K2326" s="5"/>
      <c r="L2326" s="5"/>
      <c r="M2326" s="5"/>
      <c r="N2326" s="5"/>
      <c r="O2326" s="5"/>
      <c r="P2326" s="5"/>
      <c r="Q2326" s="5"/>
      <c r="R2326" s="5"/>
      <c r="S2326" s="5"/>
      <c r="T2326" s="5"/>
      <c r="U2326" s="5"/>
      <c r="V2326" s="5"/>
      <c r="W2326" s="5"/>
      <c r="X2326" s="5"/>
      <c r="Y2326" s="5"/>
      <c r="Z2326" s="5"/>
    </row>
    <row r="2327" spans="1:26" ht="15.6" x14ac:dyDescent="0.3">
      <c r="A2327" s="18" t="s">
        <v>23</v>
      </c>
      <c r="B2327" s="25" t="s">
        <v>2322</v>
      </c>
      <c r="C2327" s="2" t="str">
        <f ca="1">IFERROR(__xludf.DUMMYFUNCTION("GOOGLETRANSLATE(B2327, ""bn"", ""en"")"),"The international human rights organization Amnesty International has expressed concern over the arrest of Hriday Chandra Mondal, a science teacher of a school in Munshiganj, on charges of insulting religion.")</f>
        <v>The international human rights organization Amnesty International has expressed concern over the arrest of Hriday Chandra Mondal, a science teacher of a school in Munshiganj, on charges of insulting religion.</v>
      </c>
      <c r="D2327" s="5"/>
      <c r="E2327" s="5"/>
      <c r="F2327" s="5"/>
      <c r="G2327" s="5"/>
      <c r="H2327" s="5"/>
      <c r="I2327" s="5"/>
      <c r="J2327" s="5"/>
      <c r="K2327" s="5"/>
      <c r="L2327" s="5"/>
      <c r="M2327" s="5"/>
      <c r="N2327" s="5"/>
      <c r="O2327" s="5"/>
      <c r="P2327" s="5"/>
      <c r="Q2327" s="5"/>
      <c r="R2327" s="5"/>
      <c r="S2327" s="5"/>
      <c r="T2327" s="5"/>
      <c r="U2327" s="5"/>
      <c r="V2327" s="5"/>
      <c r="W2327" s="5"/>
      <c r="X2327" s="5"/>
      <c r="Y2327" s="5"/>
      <c r="Z2327" s="5"/>
    </row>
    <row r="2328" spans="1:26" ht="15.6" x14ac:dyDescent="0.3">
      <c r="A2328" s="18" t="s">
        <v>23</v>
      </c>
      <c r="B2328" s="25" t="s">
        <v>2323</v>
      </c>
      <c r="C2328" s="2" t="str">
        <f ca="1">IFERROR(__xludf.DUMMYFUNCTION("GOOGLETRANSLATE(B2328, ""bn"", ""en"")"),"If the beard is short, make it longer. People of other religions also keep the shaved beard to show off their ruff.")</f>
        <v>If the beard is short, make it longer. People of other religions also keep the shaved beard to show off their ruff.</v>
      </c>
      <c r="D2328" s="6"/>
      <c r="E2328" s="6"/>
      <c r="F2328" s="2"/>
      <c r="G2328" s="2"/>
      <c r="H2328" s="3"/>
      <c r="I2328" s="3"/>
      <c r="J2328" s="3"/>
      <c r="K2328" s="3"/>
      <c r="L2328" s="3"/>
      <c r="M2328" s="3"/>
      <c r="N2328" s="3"/>
      <c r="O2328" s="3"/>
      <c r="P2328" s="3"/>
      <c r="Q2328" s="3"/>
      <c r="R2328" s="3"/>
      <c r="S2328" s="3"/>
      <c r="T2328" s="3"/>
      <c r="U2328" s="3"/>
      <c r="V2328" s="3"/>
      <c r="W2328" s="3"/>
      <c r="X2328" s="3"/>
      <c r="Y2328" s="3"/>
      <c r="Z2328" s="3"/>
    </row>
    <row r="2329" spans="1:26" ht="15.6" x14ac:dyDescent="0.3">
      <c r="A2329" s="18" t="s">
        <v>3</v>
      </c>
      <c r="B2329" s="25" t="s">
        <v>2324</v>
      </c>
      <c r="C2329" s="2" t="str">
        <f ca="1">IFERROR(__xludf.DUMMYFUNCTION("GOOGLETRANSLATE(B2329, ""bn"", ""en"")"),"Research shows that there is no religious education among those who commit suicide. Even if it is insufficient.")</f>
        <v>Research shows that there is no religious education among those who commit suicide. Even if it is insufficient.</v>
      </c>
      <c r="D2329" s="2"/>
      <c r="E2329" s="2"/>
      <c r="F2329" s="2"/>
      <c r="G2329" s="2"/>
      <c r="H2329" s="3"/>
      <c r="I2329" s="3"/>
      <c r="J2329" s="3"/>
      <c r="K2329" s="3"/>
      <c r="L2329" s="3"/>
      <c r="M2329" s="3"/>
      <c r="N2329" s="3"/>
      <c r="O2329" s="3"/>
      <c r="P2329" s="3"/>
      <c r="Q2329" s="3"/>
      <c r="R2329" s="3"/>
      <c r="S2329" s="3"/>
      <c r="T2329" s="3"/>
      <c r="U2329" s="3"/>
      <c r="V2329" s="3"/>
      <c r="W2329" s="3"/>
      <c r="X2329" s="3"/>
      <c r="Y2329" s="3"/>
      <c r="Z2329" s="3"/>
    </row>
    <row r="2330" spans="1:26" ht="15.6" x14ac:dyDescent="0.3">
      <c r="A2330" s="19" t="s">
        <v>8</v>
      </c>
      <c r="B2330" s="26" t="s">
        <v>2325</v>
      </c>
      <c r="C2330" s="2" t="str">
        <f ca="1">IFERROR(__xludf.DUMMYFUNCTION("GOOGLETRANSLATE(B2330, ""bn"", ""en"")"),"Jessore puja celebration council leader beaten")</f>
        <v>Jessore puja celebration council leader beaten</v>
      </c>
      <c r="D2330" s="5"/>
      <c r="E2330" s="5"/>
      <c r="F2330" s="5"/>
      <c r="G2330" s="5"/>
      <c r="H2330" s="5"/>
      <c r="I2330" s="5"/>
      <c r="J2330" s="5"/>
      <c r="K2330" s="5"/>
      <c r="L2330" s="5"/>
      <c r="M2330" s="5"/>
      <c r="N2330" s="5"/>
      <c r="O2330" s="5"/>
      <c r="P2330" s="5"/>
      <c r="Q2330" s="5"/>
      <c r="R2330" s="5"/>
      <c r="S2330" s="5"/>
      <c r="T2330" s="5"/>
      <c r="U2330" s="5"/>
      <c r="V2330" s="5"/>
      <c r="W2330" s="5"/>
      <c r="X2330" s="5"/>
      <c r="Y2330" s="5"/>
      <c r="Z2330" s="5"/>
    </row>
    <row r="2331" spans="1:26" ht="15.6" x14ac:dyDescent="0.3">
      <c r="A2331" s="18" t="s">
        <v>23</v>
      </c>
      <c r="B2331" s="25" t="s">
        <v>2326</v>
      </c>
      <c r="C2331" s="2" t="str">
        <f ca="1">IFERROR(__xludf.DUMMYFUNCTION("GOOGLETRANSLATE(B2331, ""bn"", ""en"")"),"There is no word to condemn the pre-planned conspiracy to destroy religious harmony! Find out who is behind the incitement of peaceful Muslims by insulting the Holy Quran.")</f>
        <v>There is no word to condemn the pre-planned conspiracy to destroy religious harmony! Find out who is behind the incitement of peaceful Muslims by insulting the Holy Quran.</v>
      </c>
      <c r="D2331" s="2"/>
      <c r="E2331" s="2"/>
      <c r="F2331" s="2"/>
      <c r="G2331" s="2"/>
      <c r="H2331" s="3"/>
      <c r="I2331" s="3"/>
      <c r="J2331" s="3"/>
      <c r="K2331" s="3"/>
      <c r="L2331" s="3"/>
      <c r="M2331" s="3"/>
      <c r="N2331" s="3"/>
      <c r="O2331" s="3"/>
      <c r="P2331" s="3"/>
      <c r="Q2331" s="3"/>
      <c r="R2331" s="3"/>
      <c r="S2331" s="3"/>
      <c r="T2331" s="3"/>
      <c r="U2331" s="3"/>
      <c r="V2331" s="3"/>
      <c r="W2331" s="3"/>
      <c r="X2331" s="3"/>
      <c r="Y2331" s="3"/>
      <c r="Z2331" s="3"/>
    </row>
    <row r="2332" spans="1:26" ht="15.6" x14ac:dyDescent="0.3">
      <c r="A2332" s="19" t="s">
        <v>5</v>
      </c>
      <c r="B2332" s="26" t="s">
        <v>2327</v>
      </c>
      <c r="C2332" s="2" t="str">
        <f ca="1">IFERROR(__xludf.DUMMYFUNCTION("GOOGLETRANSLATE(B2332, ""bn"", ""en"")"),"Villagers mark the massacre site after the war ends. But so far no memorial has been erected at the site of the massacre, nor have the names of the victims of the massacre been traced.")</f>
        <v>Villagers mark the massacre site after the war ends. But so far no memorial has been erected at the site of the massacre, nor have the names of the victims of the massacre been traced.</v>
      </c>
      <c r="D2332" s="5"/>
      <c r="E2332" s="5"/>
      <c r="F2332" s="5"/>
      <c r="G2332" s="5"/>
      <c r="H2332" s="5"/>
      <c r="I2332" s="5"/>
      <c r="J2332" s="5"/>
      <c r="K2332" s="5"/>
      <c r="L2332" s="5"/>
      <c r="M2332" s="5"/>
      <c r="N2332" s="5"/>
      <c r="O2332" s="5"/>
      <c r="P2332" s="5"/>
      <c r="Q2332" s="5"/>
      <c r="R2332" s="5"/>
      <c r="S2332" s="5"/>
      <c r="T2332" s="5"/>
      <c r="U2332" s="5"/>
      <c r="V2332" s="5"/>
      <c r="W2332" s="5"/>
      <c r="X2332" s="5"/>
      <c r="Y2332" s="5"/>
      <c r="Z2332" s="5"/>
    </row>
    <row r="2333" spans="1:26" ht="15.6" x14ac:dyDescent="0.3">
      <c r="A2333" s="18" t="s">
        <v>3</v>
      </c>
      <c r="B2333" s="24" t="s">
        <v>2328</v>
      </c>
      <c r="C2333" s="2" t="str">
        <f ca="1">IFERROR(__xludf.DUMMYFUNCTION("GOOGLETRANSLATE(B2333, ""bn"", ""en"")"),"Religious education not only teaches people to worship, but also to respect others, be compassionate and live righteously.")</f>
        <v>Religious education not only teaches people to worship, but also to respect others, be compassionate and live righteously.</v>
      </c>
      <c r="D2333" s="5"/>
      <c r="E2333" s="5"/>
      <c r="F2333" s="5"/>
      <c r="G2333" s="5"/>
      <c r="H2333" s="5"/>
      <c r="I2333" s="5"/>
      <c r="J2333" s="5"/>
      <c r="K2333" s="5"/>
      <c r="L2333" s="5"/>
      <c r="M2333" s="5"/>
      <c r="N2333" s="5"/>
      <c r="O2333" s="5"/>
      <c r="P2333" s="5"/>
      <c r="Q2333" s="5"/>
      <c r="R2333" s="5"/>
      <c r="S2333" s="5"/>
      <c r="T2333" s="5"/>
      <c r="U2333" s="5"/>
      <c r="V2333" s="5"/>
      <c r="W2333" s="5"/>
      <c r="X2333" s="5"/>
      <c r="Y2333" s="5"/>
      <c r="Z2333" s="5"/>
    </row>
    <row r="2334" spans="1:26" ht="15.6" x14ac:dyDescent="0.3">
      <c r="A2334" s="19" t="s">
        <v>8</v>
      </c>
      <c r="B2334" s="26" t="s">
        <v>2329</v>
      </c>
      <c r="C2334" s="2" t="str">
        <f ca="1">IFERROR(__xludf.DUMMYFUNCTION("GOOGLETRANSLATE(B2334, ""bn"", ""en"")"),"The Creator does not destroy in anger; Rather we are destroying his creation to establish our dogma.")</f>
        <v>The Creator does not destroy in anger; Rather we are destroying his creation to establish our dogma.</v>
      </c>
      <c r="D2334" s="7"/>
      <c r="E2334" s="7"/>
      <c r="F2334" s="5"/>
      <c r="G2334" s="5"/>
      <c r="H2334" s="5"/>
      <c r="I2334" s="5"/>
      <c r="J2334" s="5"/>
      <c r="K2334" s="5"/>
      <c r="L2334" s="5"/>
      <c r="M2334" s="5"/>
      <c r="N2334" s="5"/>
      <c r="O2334" s="5"/>
      <c r="P2334" s="5"/>
      <c r="Q2334" s="5"/>
      <c r="R2334" s="5"/>
      <c r="S2334" s="5"/>
      <c r="T2334" s="5"/>
      <c r="U2334" s="5"/>
      <c r="V2334" s="5"/>
      <c r="W2334" s="5"/>
      <c r="X2334" s="5"/>
      <c r="Y2334" s="5"/>
      <c r="Z2334" s="5"/>
    </row>
    <row r="2335" spans="1:26" ht="15.6" x14ac:dyDescent="0.3">
      <c r="A2335" s="18" t="s">
        <v>8</v>
      </c>
      <c r="B2335" s="25" t="s">
        <v>2330</v>
      </c>
      <c r="C2335" s="2" t="str">
        <f ca="1">IFERROR(__xludf.DUMMYFUNCTION("GOOGLETRANSLATE(B2335, ""bn"", ""en"")"),"The Noorani Jama Masjid was destroyed during a political rally, which turned into a riot in December 1992.")</f>
        <v>The Noorani Jama Masjid was destroyed during a political rally, which turned into a riot in December 1992.</v>
      </c>
      <c r="D2335" s="2"/>
      <c r="E2335" s="2"/>
      <c r="F2335" s="2"/>
      <c r="G2335" s="2"/>
      <c r="H2335" s="5"/>
      <c r="I2335" s="5"/>
      <c r="J2335" s="5"/>
      <c r="K2335" s="5"/>
      <c r="L2335" s="5"/>
      <c r="M2335" s="5"/>
      <c r="N2335" s="5"/>
      <c r="O2335" s="5"/>
      <c r="P2335" s="5"/>
      <c r="Q2335" s="5"/>
      <c r="R2335" s="5"/>
      <c r="S2335" s="5"/>
      <c r="T2335" s="5"/>
      <c r="U2335" s="5"/>
      <c r="V2335" s="5"/>
      <c r="W2335" s="5"/>
      <c r="X2335" s="5"/>
      <c r="Y2335" s="5"/>
      <c r="Z2335" s="5"/>
    </row>
    <row r="2336" spans="1:26" ht="15.6" x14ac:dyDescent="0.3">
      <c r="A2336" s="18" t="s">
        <v>5</v>
      </c>
      <c r="B2336" s="25" t="s">
        <v>2331</v>
      </c>
      <c r="C2336" s="2" t="str">
        <f ca="1">IFERROR(__xludf.DUMMYFUNCTION("GOOGLETRANSLATE(B2336, ""bn"", ""en"")"),"The Hindus of the then Hindu dominated areas of Feni such as Masterpara, Ukilpara, Doctorpara, Sahdevpur, Barahipur, Sultanpur were attacked by Muslims and their settlements were burnt. An influential Hindu community named Gurudas Kar was killed by the Mu"&amp;"slims.")</f>
        <v>The Hindus of the then Hindu dominated areas of Feni such as Masterpara, Ukilpara, Doctorpara, Sahdevpur, Barahipur, Sultanpur were attacked by Muslims and their settlements were burnt. An influential Hindu community named Gurudas Kar was killed by the Muslims.</v>
      </c>
      <c r="D2336" s="7"/>
      <c r="E2336" s="7"/>
      <c r="F2336" s="7"/>
      <c r="G2336" s="7"/>
      <c r="H2336" s="7"/>
      <c r="I2336" s="7"/>
      <c r="J2336" s="7"/>
      <c r="K2336" s="7"/>
      <c r="L2336" s="7"/>
      <c r="M2336" s="7"/>
      <c r="N2336" s="7"/>
      <c r="O2336" s="7"/>
      <c r="P2336" s="7"/>
      <c r="Q2336" s="7"/>
      <c r="R2336" s="7"/>
      <c r="S2336" s="7"/>
      <c r="T2336" s="5"/>
      <c r="U2336" s="5"/>
      <c r="V2336" s="5"/>
      <c r="W2336" s="5"/>
      <c r="X2336" s="5"/>
      <c r="Y2336" s="5"/>
      <c r="Z2336" s="5"/>
    </row>
    <row r="2337" spans="1:26" ht="15.6" x14ac:dyDescent="0.3">
      <c r="A2337" s="18" t="s">
        <v>5</v>
      </c>
      <c r="B2337" s="24" t="s">
        <v>2332</v>
      </c>
      <c r="C2337" s="2" t="str">
        <f ca="1">IFERROR(__xludf.DUMMYFUNCTION("GOOGLETRANSLATE(B2337, ""bn"", ""en"")"),"In April 2018, a group attacked the artist's exhibition, accusing it of hurting religious sentiments; 13 people were killed.")</f>
        <v>In April 2018, a group attacked the artist's exhibition, accusing it of hurting religious sentiments; 13 people were killed.</v>
      </c>
      <c r="D2337" s="5"/>
      <c r="E2337" s="5"/>
      <c r="F2337" s="5"/>
      <c r="G2337" s="5"/>
      <c r="H2337" s="5"/>
      <c r="I2337" s="5"/>
      <c r="J2337" s="5"/>
      <c r="K2337" s="5"/>
      <c r="L2337" s="5"/>
      <c r="M2337" s="5"/>
      <c r="N2337" s="5"/>
      <c r="O2337" s="5"/>
      <c r="P2337" s="5"/>
      <c r="Q2337" s="5"/>
      <c r="R2337" s="5"/>
      <c r="S2337" s="5"/>
      <c r="T2337" s="5"/>
      <c r="U2337" s="5"/>
      <c r="V2337" s="5"/>
      <c r="W2337" s="5"/>
      <c r="X2337" s="5"/>
      <c r="Y2337" s="5"/>
      <c r="Z2337" s="5"/>
    </row>
    <row r="2338" spans="1:26" ht="15.6" x14ac:dyDescent="0.3">
      <c r="A2338" s="19" t="s">
        <v>3</v>
      </c>
      <c r="B2338" s="26" t="s">
        <v>2333</v>
      </c>
      <c r="C2338" s="2" t="str">
        <f ca="1">IFERROR(__xludf.DUMMYFUNCTION("GOOGLETRANSLATE(B2338, ""bn"", ""en"")"),"We have many respected teachers who belong to other religions and have never had any bad comments from them.")</f>
        <v>We have many respected teachers who belong to other religions and have never had any bad comments from them.</v>
      </c>
      <c r="D2338" s="7"/>
      <c r="E2338" s="7"/>
      <c r="F2338" s="7"/>
      <c r="G2338" s="7"/>
      <c r="H2338" s="5"/>
      <c r="I2338" s="5"/>
      <c r="J2338" s="5"/>
      <c r="K2338" s="5"/>
      <c r="L2338" s="5"/>
      <c r="M2338" s="5"/>
      <c r="N2338" s="5"/>
      <c r="O2338" s="5"/>
      <c r="P2338" s="5"/>
      <c r="Q2338" s="5"/>
      <c r="R2338" s="5"/>
      <c r="S2338" s="5"/>
      <c r="T2338" s="5"/>
      <c r="U2338" s="5"/>
      <c r="V2338" s="5"/>
      <c r="W2338" s="5"/>
      <c r="X2338" s="5"/>
      <c r="Y2338" s="5"/>
      <c r="Z2338" s="5"/>
    </row>
    <row r="2339" spans="1:26" ht="15.6" x14ac:dyDescent="0.3">
      <c r="A2339" s="19" t="s">
        <v>23</v>
      </c>
      <c r="B2339" s="26" t="s">
        <v>2334</v>
      </c>
      <c r="C2339" s="2" t="str">
        <f ca="1">IFERROR(__xludf.DUMMYFUNCTION("GOOGLETRANSLATE(B2339, ""bn"", ""en"")"),"How many injustices are legitimized by misinterpreting religion.")</f>
        <v>How many injustices are legitimized by misinterpreting religion.</v>
      </c>
      <c r="D2339" s="5"/>
      <c r="E2339" s="5"/>
      <c r="F2339" s="5"/>
      <c r="G2339" s="5"/>
      <c r="H2339" s="5"/>
      <c r="I2339" s="5"/>
      <c r="J2339" s="5"/>
      <c r="K2339" s="5"/>
      <c r="L2339" s="5"/>
      <c r="M2339" s="5"/>
      <c r="N2339" s="5"/>
      <c r="O2339" s="5"/>
      <c r="P2339" s="5"/>
      <c r="Q2339" s="5"/>
      <c r="R2339" s="5"/>
      <c r="S2339" s="5"/>
      <c r="T2339" s="5"/>
      <c r="U2339" s="5"/>
      <c r="V2339" s="5"/>
      <c r="W2339" s="5"/>
      <c r="X2339" s="5"/>
      <c r="Y2339" s="5"/>
      <c r="Z2339" s="5"/>
    </row>
    <row r="2340" spans="1:26" ht="15.6" x14ac:dyDescent="0.3">
      <c r="A2340" s="18" t="s">
        <v>8</v>
      </c>
      <c r="B2340" s="25" t="s">
        <v>2335</v>
      </c>
      <c r="C2340" s="2" t="str">
        <f ca="1">IFERROR(__xludf.DUMMYFUNCTION("GOOGLETRANSLATE(B2340, ""bn"", ""en"")"),"Abu Saleh, Headmaster of Kaya Child Haven Girls' School, was arrested from his house in Kushtia's Kumarkhali village for allegedly hurting religious sentiments. The next day, after the demonstration march and protest rally demanding the hanging of the tea"&amp;"cher, his house was attacked and vandalized.")</f>
        <v>Abu Saleh, Headmaster of Kaya Child Haven Girls' School, was arrested from his house in Kushtia's Kumarkhali village for allegedly hurting religious sentiments. The next day, after the demonstration march and protest rally demanding the hanging of the teacher, his house was attacked and vandalized.</v>
      </c>
      <c r="D2340" s="5"/>
      <c r="E2340" s="5"/>
      <c r="F2340" s="5"/>
      <c r="G2340" s="5"/>
      <c r="H2340" s="5"/>
      <c r="I2340" s="5"/>
      <c r="J2340" s="5"/>
      <c r="K2340" s="5"/>
      <c r="L2340" s="5"/>
      <c r="M2340" s="5"/>
      <c r="N2340" s="5"/>
      <c r="O2340" s="5"/>
      <c r="P2340" s="5"/>
      <c r="Q2340" s="5"/>
      <c r="R2340" s="5"/>
      <c r="S2340" s="5"/>
      <c r="T2340" s="5"/>
      <c r="U2340" s="5"/>
      <c r="V2340" s="5"/>
      <c r="W2340" s="5"/>
      <c r="X2340" s="5"/>
      <c r="Y2340" s="5"/>
      <c r="Z2340" s="5"/>
    </row>
    <row r="2341" spans="1:26" ht="15.6" x14ac:dyDescent="0.3">
      <c r="A2341" s="19" t="s">
        <v>23</v>
      </c>
      <c r="B2341" s="26" t="s">
        <v>2336</v>
      </c>
      <c r="C2341" s="2" t="str">
        <f ca="1">IFERROR(__xludf.DUMMYFUNCTION("GOOGLETRANSLATE(B2341, ""bn"", ""en"")"),"Strongly condemned protested that the Muslim world should be united and declare a boycott of Bangladesh")</f>
        <v>Strongly condemned protested that the Muslim world should be united and declare a boycott of Bangladesh</v>
      </c>
      <c r="D2341" s="5"/>
      <c r="E2341" s="5"/>
      <c r="F2341" s="5"/>
      <c r="G2341" s="5"/>
      <c r="H2341" s="5"/>
      <c r="I2341" s="5"/>
      <c r="J2341" s="5"/>
      <c r="K2341" s="5"/>
      <c r="L2341" s="5"/>
      <c r="M2341" s="5"/>
      <c r="N2341" s="5"/>
      <c r="O2341" s="5"/>
      <c r="P2341" s="5"/>
      <c r="Q2341" s="5"/>
      <c r="R2341" s="5"/>
      <c r="S2341" s="5"/>
      <c r="T2341" s="5"/>
      <c r="U2341" s="5"/>
      <c r="V2341" s="5"/>
      <c r="W2341" s="5"/>
      <c r="X2341" s="5"/>
      <c r="Y2341" s="5"/>
      <c r="Z2341" s="5"/>
    </row>
    <row r="2342" spans="1:26" ht="15.6" x14ac:dyDescent="0.3">
      <c r="A2342" s="18" t="s">
        <v>23</v>
      </c>
      <c r="B2342" s="25" t="s">
        <v>2337</v>
      </c>
      <c r="C2342" s="2" t="str">
        <f ca="1">IFERROR(__xludf.DUMMYFUNCTION("GOOGLETRANSLATE(B2342, ""bn"", ""en"")"),"The Quran is our living document, and there are millions of Hafiz around the world. We strongly condemn those who take a stand against the Quran and demand the punishment and execution of those responsible for the insult.")</f>
        <v>The Quran is our living document, and there are millions of Hafiz around the world. We strongly condemn those who take a stand against the Quran and demand the punishment and execution of those responsible for the insult.</v>
      </c>
      <c r="D2342" s="2"/>
      <c r="E2342" s="2"/>
      <c r="F2342" s="2"/>
      <c r="G2342" s="2"/>
      <c r="H2342" s="3"/>
      <c r="I2342" s="3"/>
      <c r="J2342" s="3"/>
      <c r="K2342" s="3"/>
      <c r="L2342" s="3"/>
      <c r="M2342" s="3"/>
      <c r="N2342" s="3"/>
      <c r="O2342" s="3"/>
      <c r="P2342" s="3"/>
      <c r="Q2342" s="3"/>
      <c r="R2342" s="3"/>
      <c r="S2342" s="3"/>
      <c r="T2342" s="3"/>
      <c r="U2342" s="3"/>
      <c r="V2342" s="3"/>
      <c r="W2342" s="3"/>
      <c r="X2342" s="3"/>
      <c r="Y2342" s="3"/>
      <c r="Z2342" s="3"/>
    </row>
    <row r="2343" spans="1:26" ht="15.6" x14ac:dyDescent="0.3">
      <c r="A2343" s="18" t="s">
        <v>8</v>
      </c>
      <c r="B2343" s="25" t="s">
        <v>2338</v>
      </c>
      <c r="C2343" s="2" t="str">
        <f ca="1">IFERROR(__xludf.DUMMYFUNCTION("GOOGLETRANSLATE(B2343, ""bn"", ""en"")"),"After the verdict was announced, the activists started a protest march with sticks at 2 pm. The procession vandalized Kali Mandir and Bainnbari in Rajganj Bazar, later attacked Hindus in Tongipara and Aladinagar villages, vandalizing and looting eight fam"&amp;"ilies.")</f>
        <v>After the verdict was announced, the activists started a protest march with sticks at 2 pm. The procession vandalized Kali Mandir and Bainnbari in Rajganj Bazar, later attacked Hindus in Tongipara and Aladinagar villages, vandalizing and looting eight families.</v>
      </c>
      <c r="D2343" s="6"/>
      <c r="E2343" s="6"/>
      <c r="F2343" s="6"/>
      <c r="G2343" s="6"/>
      <c r="H2343" s="3"/>
      <c r="I2343" s="3"/>
      <c r="J2343" s="3"/>
      <c r="K2343" s="3"/>
      <c r="L2343" s="3"/>
      <c r="M2343" s="3"/>
      <c r="N2343" s="3"/>
      <c r="O2343" s="3"/>
      <c r="P2343" s="3"/>
      <c r="Q2343" s="3"/>
      <c r="R2343" s="3"/>
      <c r="S2343" s="3"/>
      <c r="T2343" s="3"/>
      <c r="U2343" s="3"/>
      <c r="V2343" s="3"/>
      <c r="W2343" s="3"/>
      <c r="X2343" s="3"/>
      <c r="Y2343" s="3"/>
      <c r="Z2343" s="3"/>
    </row>
    <row r="2344" spans="1:26" ht="15.6" x14ac:dyDescent="0.3">
      <c r="A2344" s="18" t="s">
        <v>23</v>
      </c>
      <c r="B2344" s="25" t="s">
        <v>2339</v>
      </c>
      <c r="C2344" s="2" t="str">
        <f ca="1">IFERROR(__xludf.DUMMYFUNCTION("GOOGLETRANSLATE(B2344, ""bn"", ""en"")"),"For nearly 1,000 years, the Dogon tribe of Mali suffered religious and ethnic persecution through Islamic Jihad. In this campaign, they were forced to abandon their traditional religion and convert to Islam.")</f>
        <v>For nearly 1,000 years, the Dogon tribe of Mali suffered religious and ethnic persecution through Islamic Jihad. In this campaign, they were forced to abandon their traditional religion and convert to Islam.</v>
      </c>
      <c r="D2344" s="2"/>
      <c r="E2344" s="2"/>
      <c r="F2344" s="2"/>
      <c r="G2344" s="2"/>
      <c r="H2344" s="3"/>
      <c r="I2344" s="3"/>
      <c r="J2344" s="3"/>
      <c r="K2344" s="3"/>
      <c r="L2344" s="3"/>
      <c r="M2344" s="3"/>
      <c r="N2344" s="3"/>
      <c r="O2344" s="3"/>
      <c r="P2344" s="3"/>
      <c r="Q2344" s="3"/>
      <c r="R2344" s="3"/>
      <c r="S2344" s="3"/>
      <c r="T2344" s="3"/>
      <c r="U2344" s="3"/>
      <c r="V2344" s="3"/>
      <c r="W2344" s="3"/>
      <c r="X2344" s="3"/>
      <c r="Y2344" s="3"/>
      <c r="Z2344" s="3"/>
    </row>
    <row r="2345" spans="1:26" ht="15.6" x14ac:dyDescent="0.3">
      <c r="A2345" s="18" t="s">
        <v>5</v>
      </c>
      <c r="B2345" s="25" t="s">
        <v>2340</v>
      </c>
      <c r="C2345" s="2" t="str">
        <f ca="1">IFERROR(__xludf.DUMMYFUNCTION("GOOGLETRANSLATE(B2345, ""bn"", ""en"")"),"There, Hindu women were laid on the ground by the thugs of the Muslim League, who wiped off Sinthi's vermilion with their big toes, broke their wrists, killed their husbands, sons and daughters, and forced those Hindu women to convert to Islam and marry t"&amp;"hem.")</f>
        <v>There, Hindu women were laid on the ground by the thugs of the Muslim League, who wiped off Sinthi's vermilion with their big toes, broke their wrists, killed their husbands, sons and daughters, and forced those Hindu women to convert to Islam and marry them.</v>
      </c>
      <c r="D2345" s="2"/>
      <c r="E2345" s="2"/>
      <c r="F2345" s="2"/>
      <c r="G2345" s="2"/>
      <c r="H2345" s="3"/>
      <c r="I2345" s="3"/>
      <c r="J2345" s="3"/>
      <c r="K2345" s="3"/>
      <c r="L2345" s="3"/>
      <c r="M2345" s="3"/>
      <c r="N2345" s="3"/>
      <c r="O2345" s="3"/>
      <c r="P2345" s="3"/>
      <c r="Q2345" s="3"/>
      <c r="R2345" s="3"/>
      <c r="S2345" s="3"/>
      <c r="T2345" s="3"/>
      <c r="U2345" s="3"/>
      <c r="V2345" s="3"/>
      <c r="W2345" s="3"/>
      <c r="X2345" s="3"/>
      <c r="Y2345" s="3"/>
      <c r="Z2345" s="3"/>
    </row>
    <row r="2346" spans="1:26" ht="15.6" x14ac:dyDescent="0.3">
      <c r="A2346" s="18" t="s">
        <v>3</v>
      </c>
      <c r="B2346" s="25" t="s">
        <v>2341</v>
      </c>
      <c r="C2346" s="2" t="str">
        <f ca="1">IFERROR(__xludf.DUMMYFUNCTION("GOOGLETRANSLATE(B2346, ""bn"", ""en"")"),"According to Quranic verses, Allah sees human beings as one big family, where people of every religion should respect and love each other.")</f>
        <v>According to Quranic verses, Allah sees human beings as one big family, where people of every religion should respect and love each other.</v>
      </c>
      <c r="D2346" s="2"/>
      <c r="E2346" s="2"/>
      <c r="F2346" s="2"/>
      <c r="G2346" s="2"/>
      <c r="H2346" s="3"/>
      <c r="I2346" s="3"/>
      <c r="J2346" s="3"/>
      <c r="K2346" s="3"/>
      <c r="L2346" s="3"/>
      <c r="M2346" s="3"/>
      <c r="N2346" s="3"/>
      <c r="O2346" s="3"/>
      <c r="P2346" s="3"/>
      <c r="Q2346" s="3"/>
      <c r="R2346" s="3"/>
      <c r="S2346" s="3"/>
      <c r="T2346" s="3"/>
      <c r="U2346" s="3"/>
      <c r="V2346" s="3"/>
      <c r="W2346" s="3"/>
      <c r="X2346" s="3"/>
      <c r="Y2346" s="3"/>
      <c r="Z2346" s="3"/>
    </row>
    <row r="2347" spans="1:26" ht="15.6" x14ac:dyDescent="0.3">
      <c r="A2347" s="18" t="s">
        <v>8</v>
      </c>
      <c r="B2347" s="25" t="s">
        <v>2342</v>
      </c>
      <c r="C2347" s="2" t="str">
        <f ca="1">IFERROR(__xludf.DUMMYFUNCTION("GOOGLETRANSLATE(B2347, ""bn"", ""en"")"),"1 thousand 678 incidents of vandalism and arson have occurred in idols, pujamandap, temples. ASK says that 862 Hindus were injured in these attacks.")</f>
        <v>1 thousand 678 incidents of vandalism and arson have occurred in idols, pujamandap, temples. ASK says that 862 Hindus were injured in these attacks.</v>
      </c>
      <c r="D2347" s="5"/>
      <c r="E2347" s="5"/>
      <c r="F2347" s="5"/>
      <c r="G2347" s="5"/>
      <c r="H2347" s="5"/>
      <c r="I2347" s="5"/>
      <c r="J2347" s="5"/>
      <c r="K2347" s="5"/>
      <c r="L2347" s="5"/>
      <c r="M2347" s="5"/>
      <c r="N2347" s="5"/>
      <c r="O2347" s="5"/>
      <c r="P2347" s="5"/>
      <c r="Q2347" s="5"/>
      <c r="R2347" s="5"/>
      <c r="S2347" s="5"/>
      <c r="T2347" s="5"/>
      <c r="U2347" s="5"/>
      <c r="V2347" s="5"/>
      <c r="W2347" s="5"/>
      <c r="X2347" s="5"/>
      <c r="Y2347" s="5"/>
      <c r="Z2347" s="5"/>
    </row>
    <row r="2348" spans="1:26" ht="15.6" x14ac:dyDescent="0.3">
      <c r="A2348" s="18" t="s">
        <v>8</v>
      </c>
      <c r="B2348" s="25" t="s">
        <v>2343</v>
      </c>
      <c r="C2348" s="2" t="str">
        <f ca="1">IFERROR(__xludf.DUMMYFUNCTION("GOOGLETRANSLATE(B2348, ""bn"", ""en"")"),"The Brahmanical Sena kings from the south invaded Bengal and wrested power from the Pala kings and established themselves on the throne of Bengal. The Sena kings did not stop with taking power from the Buddhists, they began to persecute the Buddhists and "&amp;"started the Buddhist sacrifices.")</f>
        <v>The Brahmanical Sena kings from the south invaded Bengal and wrested power from the Pala kings and established themselves on the throne of Bengal. The Sena kings did not stop with taking power from the Buddhists, they began to persecute the Buddhists and started the Buddhist sacrifices.</v>
      </c>
      <c r="D2348" s="5"/>
      <c r="E2348" s="5"/>
      <c r="F2348" s="5"/>
      <c r="G2348" s="5"/>
      <c r="H2348" s="5"/>
      <c r="I2348" s="5"/>
      <c r="J2348" s="5"/>
      <c r="K2348" s="5"/>
      <c r="L2348" s="5"/>
      <c r="M2348" s="5"/>
      <c r="N2348" s="5"/>
      <c r="O2348" s="5"/>
      <c r="P2348" s="5"/>
      <c r="Q2348" s="5"/>
      <c r="R2348" s="5"/>
      <c r="S2348" s="5"/>
      <c r="T2348" s="5"/>
      <c r="U2348" s="5"/>
      <c r="V2348" s="5"/>
      <c r="W2348" s="5"/>
      <c r="X2348" s="5"/>
      <c r="Y2348" s="5"/>
      <c r="Z2348" s="5"/>
    </row>
    <row r="2349" spans="1:26" ht="15.6" x14ac:dyDescent="0.3">
      <c r="A2349" s="19" t="s">
        <v>3</v>
      </c>
      <c r="B2349" s="26" t="s">
        <v>2344</v>
      </c>
      <c r="C2349" s="2" t="str">
        <f ca="1">IFERROR(__xludf.DUMMYFUNCTION("GOOGLETRANSLATE(B2349, ""bn"", ""en"")"),"SubhanAllah, I can't hold back the tears after hearing this blessing of Allah Ta'ala. Surely Allah is great.")</f>
        <v>SubhanAllah, I can't hold back the tears after hearing this blessing of Allah Ta'ala. Surely Allah is great.</v>
      </c>
      <c r="D2349" s="7"/>
      <c r="E2349" s="7"/>
      <c r="F2349" s="7"/>
      <c r="G2349" s="7"/>
      <c r="H2349" s="7"/>
      <c r="I2349" s="5"/>
      <c r="J2349" s="5"/>
      <c r="K2349" s="5"/>
      <c r="L2349" s="5"/>
      <c r="M2349" s="5"/>
      <c r="N2349" s="5"/>
      <c r="O2349" s="5"/>
      <c r="P2349" s="5"/>
      <c r="Q2349" s="5"/>
      <c r="R2349" s="5"/>
      <c r="S2349" s="5"/>
      <c r="T2349" s="5"/>
      <c r="U2349" s="5"/>
      <c r="V2349" s="5"/>
      <c r="W2349" s="5"/>
      <c r="X2349" s="5"/>
      <c r="Y2349" s="5"/>
      <c r="Z2349" s="5"/>
    </row>
    <row r="2350" spans="1:26" ht="15.6" x14ac:dyDescent="0.3">
      <c r="A2350" s="19" t="s">
        <v>23</v>
      </c>
      <c r="B2350" s="26" t="s">
        <v>2345</v>
      </c>
      <c r="C2350" s="2" t="str">
        <f ca="1">IFERROR(__xludf.DUMMYFUNCTION("GOOGLETRANSLATE(B2350, ""bn"", ""en"")"),"I deeply detest religious extremism. The learned scholars of this country also condemn extremism. I got real proof of this by mixing with the scholars.")</f>
        <v>I deeply detest religious extremism. The learned scholars of this country also condemn extremism. I got real proof of this by mixing with the scholars.</v>
      </c>
      <c r="D2350" s="7"/>
      <c r="E2350" s="7"/>
      <c r="F2350" s="7"/>
      <c r="G2350" s="7"/>
      <c r="H2350" s="7"/>
      <c r="I2350" s="7"/>
      <c r="J2350" s="7"/>
      <c r="K2350" s="7"/>
      <c r="L2350" s="5"/>
      <c r="M2350" s="5"/>
      <c r="N2350" s="5"/>
      <c r="O2350" s="5"/>
      <c r="P2350" s="5"/>
      <c r="Q2350" s="5"/>
      <c r="R2350" s="5"/>
      <c r="S2350" s="5"/>
      <c r="T2350" s="5"/>
      <c r="U2350" s="5"/>
      <c r="V2350" s="5"/>
      <c r="W2350" s="5"/>
      <c r="X2350" s="5"/>
      <c r="Y2350" s="5"/>
      <c r="Z2350" s="5"/>
    </row>
    <row r="2351" spans="1:26" ht="15.6" x14ac:dyDescent="0.3">
      <c r="A2351" s="18" t="s">
        <v>5</v>
      </c>
      <c r="B2351" s="25" t="s">
        <v>2346</v>
      </c>
      <c r="C2351" s="2" t="str">
        <f ca="1">IFERROR(__xludf.DUMMYFUNCTION("GOOGLETRANSLATE(B2351, ""bn"", ""en"")"),"On 10th February the killing of Hindus in Noakhali district started. On the afternoon of 13th February, the Hindus of Feni district were brutally brutalized in broad daylight.")</f>
        <v>On 10th February the killing of Hindus in Noakhali district started. On the afternoon of 13th February, the Hindus of Feni district were brutally brutalized in broad daylight.</v>
      </c>
      <c r="D2351" s="5"/>
      <c r="E2351" s="5"/>
      <c r="F2351" s="5"/>
      <c r="G2351" s="5"/>
      <c r="H2351" s="5"/>
      <c r="I2351" s="5"/>
      <c r="J2351" s="5"/>
      <c r="K2351" s="5"/>
      <c r="L2351" s="5"/>
      <c r="M2351" s="5"/>
      <c r="N2351" s="5"/>
      <c r="O2351" s="5"/>
      <c r="P2351" s="5"/>
      <c r="Q2351" s="5"/>
      <c r="R2351" s="5"/>
      <c r="S2351" s="5"/>
      <c r="T2351" s="5"/>
      <c r="U2351" s="5"/>
      <c r="V2351" s="5"/>
      <c r="W2351" s="5"/>
      <c r="X2351" s="5"/>
      <c r="Y2351" s="5"/>
      <c r="Z2351" s="5"/>
    </row>
    <row r="2352" spans="1:26" ht="15.6" x14ac:dyDescent="0.3">
      <c r="A2352" s="18" t="s">
        <v>8</v>
      </c>
      <c r="B2352" s="25" t="s">
        <v>2347</v>
      </c>
      <c r="C2352" s="2" t="str">
        <f ca="1">IFERROR(__xludf.DUMMYFUNCTION("GOOGLETRANSLATE(B2352, ""bn"", ""en"")"),"Chhatipara Chandramani Raksha Kali Temple was also attacked and idols were vandalized and set on fire. Outside, 15 more temples and mandapam gates were set on fire and vandalized. Due to this, worship was stopped in several temples on that day.")</f>
        <v>Chhatipara Chandramani Raksha Kali Temple was also attacked and idols were vandalized and set on fire. Outside, 15 more temples and mandapam gates were set on fire and vandalized. Due to this, worship was stopped in several temples on that day.</v>
      </c>
      <c r="D2352" s="6"/>
      <c r="E2352" s="6"/>
      <c r="F2352" s="6"/>
      <c r="G2352" s="2"/>
      <c r="H2352" s="5"/>
      <c r="I2352" s="5"/>
      <c r="J2352" s="5"/>
      <c r="K2352" s="5"/>
      <c r="L2352" s="5"/>
      <c r="M2352" s="5"/>
      <c r="N2352" s="5"/>
      <c r="O2352" s="5"/>
      <c r="P2352" s="5"/>
      <c r="Q2352" s="5"/>
      <c r="R2352" s="5"/>
      <c r="S2352" s="5"/>
      <c r="T2352" s="5"/>
      <c r="U2352" s="5"/>
      <c r="V2352" s="5"/>
      <c r="W2352" s="5"/>
      <c r="X2352" s="5"/>
      <c r="Y2352" s="5"/>
      <c r="Z2352" s="5"/>
    </row>
    <row r="2353" spans="1:26" ht="15.6" x14ac:dyDescent="0.3">
      <c r="A2353" s="19" t="s">
        <v>8</v>
      </c>
      <c r="B2353" s="26" t="s">
        <v>2348</v>
      </c>
      <c r="C2353" s="2" t="str">
        <f ca="1">IFERROR(__xludf.DUMMYFUNCTION("GOOGLETRANSLATE(B2353, ""bn"", ""en"")"),"Some Jamaat-e-Islami extremists printed screenshots of his posts and incited people in mosques in the upazila of Gangachra, Taraganj, Nilphamari districts of Rangpur for several days. Later they attacked Hindus in Gangachra Upazila.")</f>
        <v>Some Jamaat-e-Islami extremists printed screenshots of his posts and incited people in mosques in the upazila of Gangachra, Taraganj, Nilphamari districts of Rangpur for several days. Later they attacked Hindus in Gangachra Upazila.</v>
      </c>
      <c r="D2353" s="7"/>
      <c r="E2353" s="5"/>
      <c r="F2353" s="5"/>
      <c r="G2353" s="5"/>
      <c r="H2353" s="5"/>
      <c r="I2353" s="5"/>
      <c r="J2353" s="5"/>
      <c r="K2353" s="5"/>
      <c r="L2353" s="5"/>
      <c r="M2353" s="5"/>
      <c r="N2353" s="5"/>
      <c r="O2353" s="5"/>
      <c r="P2353" s="5"/>
      <c r="Q2353" s="5"/>
      <c r="R2353" s="5"/>
      <c r="S2353" s="5"/>
      <c r="T2353" s="5"/>
      <c r="U2353" s="5"/>
      <c r="V2353" s="5"/>
      <c r="W2353" s="5"/>
      <c r="X2353" s="5"/>
      <c r="Y2353" s="5"/>
      <c r="Z2353" s="5"/>
    </row>
    <row r="2354" spans="1:26" ht="15.6" x14ac:dyDescent="0.3">
      <c r="A2354" s="19" t="s">
        <v>23</v>
      </c>
      <c r="B2354" s="26" t="s">
        <v>2349</v>
      </c>
      <c r="C2354" s="2" t="str">
        <f ca="1">IFERROR(__xludf.DUMMYFUNCTION("GOOGLETRANSLATE(B2354, ""bn"", ""en"")"),"At around 2 pm, a protest started in groups with sticks after Friday prayers from different villages of an upazila.")</f>
        <v>At around 2 pm, a protest started in groups with sticks after Friday prayers from different villages of an upazila.</v>
      </c>
      <c r="D2354" s="7"/>
      <c r="E2354" s="7"/>
      <c r="F2354" s="7"/>
      <c r="G2354" s="7"/>
      <c r="H2354" s="5"/>
      <c r="I2354" s="5"/>
      <c r="J2354" s="5"/>
      <c r="K2354" s="5"/>
      <c r="L2354" s="5"/>
      <c r="M2354" s="5"/>
      <c r="N2354" s="5"/>
      <c r="O2354" s="5"/>
      <c r="P2354" s="5"/>
      <c r="Q2354" s="5"/>
      <c r="R2354" s="5"/>
      <c r="S2354" s="5"/>
      <c r="T2354" s="5"/>
      <c r="U2354" s="5"/>
      <c r="V2354" s="5"/>
      <c r="W2354" s="5"/>
      <c r="X2354" s="5"/>
      <c r="Y2354" s="5"/>
      <c r="Z2354" s="5"/>
    </row>
    <row r="2355" spans="1:26" ht="15.6" x14ac:dyDescent="0.3">
      <c r="A2355" s="19" t="s">
        <v>3</v>
      </c>
      <c r="B2355" s="26" t="s">
        <v>2350</v>
      </c>
      <c r="C2355" s="2" t="str">
        <f ca="1">IFERROR(__xludf.DUMMYFUNCTION("GOOGLETRANSLATE(B2355, ""bn"", ""en"")"),"Muslims celebrate Eid-ul-Fitr, Eid-ul-Adha, Muharram, Milad-un-Nabi, Shab-i-Barat and Chad Raat across the country.")</f>
        <v>Muslims celebrate Eid-ul-Fitr, Eid-ul-Adha, Muharram, Milad-un-Nabi, Shab-i-Barat and Chad Raat across the country.</v>
      </c>
      <c r="D2355" s="5"/>
      <c r="E2355" s="5"/>
      <c r="F2355" s="5"/>
      <c r="G2355" s="5"/>
      <c r="H2355" s="5"/>
      <c r="I2355" s="5"/>
      <c r="J2355" s="5"/>
      <c r="K2355" s="5"/>
      <c r="L2355" s="5"/>
      <c r="M2355" s="5"/>
      <c r="N2355" s="5"/>
      <c r="O2355" s="5"/>
      <c r="P2355" s="5"/>
      <c r="Q2355" s="5"/>
      <c r="R2355" s="5"/>
      <c r="S2355" s="5"/>
      <c r="T2355" s="5"/>
      <c r="U2355" s="5"/>
      <c r="V2355" s="5"/>
      <c r="W2355" s="5"/>
      <c r="X2355" s="5"/>
      <c r="Y2355" s="5"/>
      <c r="Z2355" s="5"/>
    </row>
    <row r="2356" spans="1:26" ht="15.6" x14ac:dyDescent="0.3">
      <c r="A2356" s="18" t="s">
        <v>5</v>
      </c>
      <c r="B2356" s="25" t="s">
        <v>2351</v>
      </c>
      <c r="C2356" s="2" t="str">
        <f ca="1">IFERROR(__xludf.DUMMYFUNCTION("GOOGLETRANSLATE(B2356, ""bn"", ""en"")"),"Three killed in Hindu-Muslim riots in Brahmanbaria, Bangladesh, mosque set on fire.")</f>
        <v>Three killed in Hindu-Muslim riots in Brahmanbaria, Bangladesh, mosque set on fire.</v>
      </c>
      <c r="D2356" s="5"/>
      <c r="E2356" s="5"/>
      <c r="F2356" s="5"/>
      <c r="G2356" s="5"/>
      <c r="H2356" s="5"/>
      <c r="I2356" s="5"/>
      <c r="J2356" s="5"/>
      <c r="K2356" s="5"/>
      <c r="L2356" s="5"/>
      <c r="M2356" s="5"/>
      <c r="N2356" s="5"/>
      <c r="O2356" s="5"/>
      <c r="P2356" s="5"/>
      <c r="Q2356" s="5"/>
      <c r="R2356" s="5"/>
      <c r="S2356" s="5"/>
      <c r="T2356" s="5"/>
      <c r="U2356" s="5"/>
      <c r="V2356" s="5"/>
      <c r="W2356" s="5"/>
      <c r="X2356" s="5"/>
      <c r="Y2356" s="5"/>
      <c r="Z2356" s="5"/>
    </row>
    <row r="2357" spans="1:26" ht="15.6" x14ac:dyDescent="0.3">
      <c r="A2357" s="18" t="s">
        <v>5</v>
      </c>
      <c r="B2357" s="25" t="s">
        <v>2352</v>
      </c>
      <c r="C2357" s="2" t="str">
        <f ca="1">IFERROR(__xludf.DUMMYFUNCTION("GOOGLETRANSLATE(B2357, ""bn"", ""en"")"),"Muslims of Kantnagar village cannot eat cow meat, if cow meat is found in someone's house Hindus will beat him to death just like in the neighboring country.")</f>
        <v>Muslims of Kantnagar village cannot eat cow meat, if cow meat is found in someone's house Hindus will beat him to death just like in the neighboring country.</v>
      </c>
      <c r="D2357" s="5"/>
      <c r="E2357" s="5"/>
      <c r="F2357" s="5"/>
      <c r="G2357" s="5"/>
      <c r="H2357" s="5"/>
      <c r="I2357" s="5"/>
      <c r="J2357" s="5"/>
      <c r="K2357" s="5"/>
      <c r="L2357" s="5"/>
      <c r="M2357" s="5"/>
      <c r="N2357" s="5"/>
      <c r="O2357" s="5"/>
      <c r="P2357" s="5"/>
      <c r="Q2357" s="5"/>
      <c r="R2357" s="5"/>
      <c r="S2357" s="5"/>
      <c r="T2357" s="5"/>
      <c r="U2357" s="5"/>
      <c r="V2357" s="5"/>
      <c r="W2357" s="5"/>
      <c r="X2357" s="5"/>
      <c r="Y2357" s="5"/>
      <c r="Z2357" s="5"/>
    </row>
    <row r="2358" spans="1:26" ht="15.6" x14ac:dyDescent="0.3">
      <c r="A2358" s="19" t="s">
        <v>23</v>
      </c>
      <c r="B2358" s="26" t="s">
        <v>2353</v>
      </c>
      <c r="C2358" s="2" t="str">
        <f ca="1">IFERROR(__xludf.DUMMYFUNCTION("GOOGLETRANSLATE(B2358, ""bn"", ""en"")"),"Bangladesh's economy is under threat in the Middle East, as the country's key trading partners have called for boycotts of Bangladeshi goods and traders are withdrawing goods due to anti-Islamic rhetoric.")</f>
        <v>Bangladesh's economy is under threat in the Middle East, as the country's key trading partners have called for boycotts of Bangladeshi goods and traders are withdrawing goods due to anti-Islamic rhetoric.</v>
      </c>
      <c r="D2358" s="7"/>
      <c r="E2358" s="7"/>
      <c r="F2358" s="7"/>
      <c r="G2358" s="7"/>
      <c r="H2358" s="7"/>
      <c r="I2358" s="7"/>
      <c r="J2358" s="7"/>
      <c r="K2358" s="7"/>
      <c r="L2358" s="7"/>
      <c r="M2358" s="7"/>
      <c r="N2358" s="7"/>
      <c r="O2358" s="7"/>
      <c r="P2358" s="7"/>
      <c r="Q2358" s="7"/>
      <c r="R2358" s="5"/>
      <c r="S2358" s="5"/>
      <c r="T2358" s="5"/>
      <c r="U2358" s="5"/>
      <c r="V2358" s="5"/>
      <c r="W2358" s="5"/>
      <c r="X2358" s="5"/>
      <c r="Y2358" s="5"/>
      <c r="Z2358" s="5"/>
    </row>
    <row r="2359" spans="1:26" ht="15.6" x14ac:dyDescent="0.3">
      <c r="A2359" s="18" t="s">
        <v>3</v>
      </c>
      <c r="B2359" s="25" t="s">
        <v>2354</v>
      </c>
      <c r="C2359" s="2" t="str">
        <f ca="1">IFERROR(__xludf.DUMMYFUNCTION("GOOGLETRANSLATE(B2359, ""bn"", ""en"")"),"A wonderful description of the paradise of dreams in an emotional voice. May Allah grant us all tawfiq to go to Jannatul Firdaus.")</f>
        <v>A wonderful description of the paradise of dreams in an emotional voice. May Allah grant us all tawfiq to go to Jannatul Firdaus.</v>
      </c>
      <c r="D2359" s="2"/>
      <c r="E2359" s="2"/>
      <c r="F2359" s="2"/>
      <c r="G2359" s="2"/>
      <c r="H2359" s="3"/>
      <c r="I2359" s="3"/>
      <c r="J2359" s="3"/>
      <c r="K2359" s="3"/>
      <c r="L2359" s="3"/>
      <c r="M2359" s="3"/>
      <c r="N2359" s="3"/>
      <c r="O2359" s="3"/>
      <c r="P2359" s="3"/>
      <c r="Q2359" s="3"/>
      <c r="R2359" s="3"/>
      <c r="S2359" s="3"/>
      <c r="T2359" s="3"/>
      <c r="U2359" s="3"/>
      <c r="V2359" s="3"/>
      <c r="W2359" s="3"/>
      <c r="X2359" s="3"/>
      <c r="Y2359" s="3"/>
      <c r="Z2359" s="3"/>
    </row>
    <row r="2360" spans="1:26" ht="15.6" x14ac:dyDescent="0.3">
      <c r="A2360" s="18" t="s">
        <v>3</v>
      </c>
      <c r="B2360" s="25" t="s">
        <v>2355</v>
      </c>
      <c r="C2360" s="2" t="str">
        <f ca="1">IFERROR(__xludf.DUMMYFUNCTION("GOOGLETRANSLATE(B2360, ""bn"", ""en"")"),"Allah mentions in the Qur'an that every animal's life has value, and He does not want them to suffer unjustly.")</f>
        <v>Allah mentions in the Qur'an that every animal's life has value, and He does not want them to suffer unjustly.</v>
      </c>
      <c r="D2360" s="7"/>
      <c r="E2360" s="7"/>
      <c r="F2360" s="7"/>
      <c r="G2360" s="7"/>
      <c r="H2360" s="7"/>
      <c r="I2360" s="5"/>
      <c r="J2360" s="5"/>
      <c r="K2360" s="5"/>
      <c r="L2360" s="5"/>
      <c r="M2360" s="5"/>
      <c r="N2360" s="5"/>
      <c r="O2360" s="5"/>
      <c r="P2360" s="5"/>
      <c r="Q2360" s="5"/>
      <c r="R2360" s="5"/>
      <c r="S2360" s="5"/>
      <c r="T2360" s="5"/>
      <c r="U2360" s="5"/>
      <c r="V2360" s="5"/>
      <c r="W2360" s="5"/>
      <c r="X2360" s="5"/>
      <c r="Y2360" s="5"/>
      <c r="Z2360" s="5"/>
    </row>
    <row r="2361" spans="1:26" ht="15.6" x14ac:dyDescent="0.3">
      <c r="A2361" s="18" t="s">
        <v>5</v>
      </c>
      <c r="B2361" s="24" t="s">
        <v>2356</v>
      </c>
      <c r="C2361" s="2" t="str">
        <f ca="1">IFERROR(__xludf.DUMMYFUNCTION("GOOGLETRANSLATE(B2361, ""bn"", ""en"")"),"At least 28 people were killed in communal clashes between Hindus and Muslims in Madaripur. Mosques and temples were damaged.")</f>
        <v>At least 28 people were killed in communal clashes between Hindus and Muslims in Madaripur. Mosques and temples were damaged.</v>
      </c>
      <c r="D2361" s="5"/>
      <c r="E2361" s="5"/>
      <c r="F2361" s="5"/>
      <c r="G2361" s="5"/>
      <c r="H2361" s="5"/>
      <c r="I2361" s="5"/>
      <c r="J2361" s="5"/>
      <c r="K2361" s="5"/>
      <c r="L2361" s="5"/>
      <c r="M2361" s="5"/>
      <c r="N2361" s="5"/>
      <c r="O2361" s="5"/>
      <c r="P2361" s="5"/>
      <c r="Q2361" s="5"/>
      <c r="R2361" s="5"/>
      <c r="S2361" s="5"/>
      <c r="T2361" s="5"/>
      <c r="U2361" s="5"/>
      <c r="V2361" s="5"/>
      <c r="W2361" s="5"/>
      <c r="X2361" s="5"/>
      <c r="Y2361" s="5"/>
      <c r="Z2361" s="5"/>
    </row>
    <row r="2362" spans="1:26" ht="15.6" x14ac:dyDescent="0.3">
      <c r="A2362" s="18" t="s">
        <v>3</v>
      </c>
      <c r="B2362" s="25" t="s">
        <v>2357</v>
      </c>
      <c r="C2362" s="2" t="str">
        <f ca="1">IFERROR(__xludf.DUMMYFUNCTION("GOOGLETRANSLATE(B2362, ""bn"", ""en"")"),"I have attended this event and hope that on the Day of Resurrection, if there is no other good deed, I can be forgiven for being with this good deed.")</f>
        <v>I have attended this event and hope that on the Day of Resurrection, if there is no other good deed, I can be forgiven for being with this good deed.</v>
      </c>
      <c r="D2362" s="2"/>
      <c r="E2362" s="2"/>
      <c r="F2362" s="2"/>
      <c r="G2362" s="2"/>
      <c r="H2362" s="3"/>
      <c r="I2362" s="3"/>
      <c r="J2362" s="3"/>
      <c r="K2362" s="3"/>
      <c r="L2362" s="3"/>
      <c r="M2362" s="3"/>
      <c r="N2362" s="3"/>
      <c r="O2362" s="3"/>
      <c r="P2362" s="3"/>
      <c r="Q2362" s="3"/>
      <c r="R2362" s="3"/>
      <c r="S2362" s="3"/>
      <c r="T2362" s="3"/>
      <c r="U2362" s="3"/>
      <c r="V2362" s="3"/>
      <c r="W2362" s="3"/>
      <c r="X2362" s="3"/>
      <c r="Y2362" s="3"/>
      <c r="Z2362" s="3"/>
    </row>
    <row r="2363" spans="1:26" ht="15.6" x14ac:dyDescent="0.3">
      <c r="A2363" s="18" t="s">
        <v>3</v>
      </c>
      <c r="B2363" s="24" t="s">
        <v>2358</v>
      </c>
      <c r="C2363" s="2" t="str">
        <f ca="1">IFERROR(__xludf.DUMMYFUNCTION("GOOGLETRANSLATE(B2363, ""bn"", ""en"")"),"No religion teaches to hate others. Rather, all religions talk about love and forgiveness.")</f>
        <v>No religion teaches to hate others. Rather, all religions talk about love and forgiveness.</v>
      </c>
      <c r="D2363" s="5"/>
      <c r="E2363" s="5"/>
      <c r="F2363" s="5"/>
      <c r="G2363" s="5"/>
      <c r="H2363" s="5"/>
      <c r="I2363" s="5"/>
      <c r="J2363" s="5"/>
      <c r="K2363" s="5"/>
      <c r="L2363" s="5"/>
      <c r="M2363" s="5"/>
      <c r="N2363" s="5"/>
      <c r="O2363" s="5"/>
      <c r="P2363" s="5"/>
      <c r="Q2363" s="5"/>
      <c r="R2363" s="5"/>
      <c r="S2363" s="5"/>
      <c r="T2363" s="5"/>
      <c r="U2363" s="5"/>
      <c r="V2363" s="5"/>
      <c r="W2363" s="5"/>
      <c r="X2363" s="5"/>
      <c r="Y2363" s="5"/>
      <c r="Z2363" s="5"/>
    </row>
    <row r="2364" spans="1:26" ht="15.6" x14ac:dyDescent="0.3">
      <c r="A2364" s="18" t="s">
        <v>5</v>
      </c>
      <c r="B2364" s="25" t="s">
        <v>2359</v>
      </c>
      <c r="C2364" s="2" t="str">
        <f ca="1">IFERROR(__xludf.DUMMYFUNCTION("GOOGLETRANSLATE(B2364, ""bn"", ""en"")"),"Bangladesh National Hindu Mahajot General Secretary Govinda Chandra Pramanik claimed that 79 people of the Hindu community were killed from January 1 to June 30.[")</f>
        <v>Bangladesh National Hindu Mahajot General Secretary Govinda Chandra Pramanik claimed that 79 people of the Hindu community were killed from January 1 to June 30.[</v>
      </c>
      <c r="D2364" s="5"/>
      <c r="E2364" s="5"/>
      <c r="F2364" s="5"/>
      <c r="G2364" s="5"/>
      <c r="H2364" s="5"/>
      <c r="I2364" s="5"/>
      <c r="J2364" s="5"/>
      <c r="K2364" s="5"/>
      <c r="L2364" s="5"/>
      <c r="M2364" s="5"/>
      <c r="N2364" s="5"/>
      <c r="O2364" s="5"/>
      <c r="P2364" s="5"/>
      <c r="Q2364" s="5"/>
      <c r="R2364" s="5"/>
      <c r="S2364" s="5"/>
      <c r="T2364" s="5"/>
      <c r="U2364" s="5"/>
      <c r="V2364" s="5"/>
      <c r="W2364" s="5"/>
      <c r="X2364" s="5"/>
      <c r="Y2364" s="5"/>
      <c r="Z2364" s="5"/>
    </row>
    <row r="2365" spans="1:26" ht="15.6" x14ac:dyDescent="0.3">
      <c r="A2365" s="19" t="s">
        <v>23</v>
      </c>
      <c r="B2365" s="26" t="s">
        <v>2360</v>
      </c>
      <c r="C2365" s="2" t="str">
        <f ca="1">IFERROR(__xludf.DUMMYFUNCTION("GOOGLETRANSLATE(B2365, ""bn"", ""en"")"),"If people go to the lowest level, they can post funny even if it is not religion! You will see people these days to destroy religion who do not care about the amount!")</f>
        <v>If people go to the lowest level, they can post funny even if it is not religion! You will see people these days to destroy religion who do not care about the amount!</v>
      </c>
      <c r="D2365" s="5"/>
      <c r="E2365" s="5"/>
      <c r="F2365" s="5"/>
      <c r="G2365" s="5"/>
      <c r="H2365" s="5"/>
      <c r="I2365" s="5"/>
      <c r="J2365" s="5"/>
      <c r="K2365" s="5"/>
      <c r="L2365" s="5"/>
      <c r="M2365" s="5"/>
      <c r="N2365" s="5"/>
      <c r="O2365" s="5"/>
      <c r="P2365" s="5"/>
      <c r="Q2365" s="5"/>
      <c r="R2365" s="5"/>
      <c r="S2365" s="5"/>
      <c r="T2365" s="5"/>
      <c r="U2365" s="5"/>
      <c r="V2365" s="5"/>
      <c r="W2365" s="5"/>
      <c r="X2365" s="5"/>
      <c r="Y2365" s="5"/>
      <c r="Z2365" s="5"/>
    </row>
    <row r="2366" spans="1:26" ht="15.6" x14ac:dyDescent="0.3">
      <c r="A2366" s="18" t="s">
        <v>8</v>
      </c>
      <c r="B2366" s="25" t="s">
        <v>2361</v>
      </c>
      <c r="C2366" s="2" t="str">
        <f ca="1">IFERROR(__xludf.DUMMYFUNCTION("GOOGLETRANSLATE(B2366, ""bn"", ""en"")"),"Since a certain time in Bangladesh, there has been a series of forced occupation and destruction of temples, homes and businesses of the Hindu community and the leaders of the ruling party were involved in these incidents.")</f>
        <v>Since a certain time in Bangladesh, there has been a series of forced occupation and destruction of temples, homes and businesses of the Hindu community and the leaders of the ruling party were involved in these incidents.</v>
      </c>
      <c r="D2366" s="5"/>
      <c r="E2366" s="5"/>
      <c r="F2366" s="5"/>
      <c r="G2366" s="5"/>
      <c r="H2366" s="5"/>
      <c r="I2366" s="5"/>
      <c r="J2366" s="5"/>
      <c r="K2366" s="5"/>
      <c r="L2366" s="5"/>
      <c r="M2366" s="5"/>
      <c r="N2366" s="5"/>
      <c r="O2366" s="5"/>
      <c r="P2366" s="5"/>
      <c r="Q2366" s="5"/>
      <c r="R2366" s="5"/>
      <c r="S2366" s="5"/>
      <c r="T2366" s="5"/>
      <c r="U2366" s="5"/>
      <c r="V2366" s="5"/>
      <c r="W2366" s="5"/>
      <c r="X2366" s="5"/>
      <c r="Y2366" s="5"/>
      <c r="Z2366" s="5"/>
    </row>
    <row r="2367" spans="1:26" ht="15.6" x14ac:dyDescent="0.3">
      <c r="A2367" s="18" t="s">
        <v>5</v>
      </c>
      <c r="B2367" s="24" t="s">
        <v>2362</v>
      </c>
      <c r="C2367" s="2" t="str">
        <f ca="1">IFERROR(__xludf.DUMMYFUNCTION("GOOGLETRANSLATE(B2367, ""bn"", ""en"")"),"In July 2015, a religious group denied admission to minority educational institutions, resulting in 21 suicides.")</f>
        <v>In July 2015, a religious group denied admission to minority educational institutions, resulting in 21 suicides.</v>
      </c>
      <c r="D2367" s="5"/>
      <c r="E2367" s="5"/>
      <c r="F2367" s="5"/>
      <c r="G2367" s="5"/>
      <c r="H2367" s="5"/>
      <c r="I2367" s="5"/>
      <c r="J2367" s="5"/>
      <c r="K2367" s="5"/>
      <c r="L2367" s="5"/>
      <c r="M2367" s="5"/>
      <c r="N2367" s="5"/>
      <c r="O2367" s="5"/>
      <c r="P2367" s="5"/>
      <c r="Q2367" s="5"/>
      <c r="R2367" s="5"/>
      <c r="S2367" s="5"/>
      <c r="T2367" s="5"/>
      <c r="U2367" s="5"/>
      <c r="V2367" s="5"/>
      <c r="W2367" s="5"/>
      <c r="X2367" s="5"/>
      <c r="Y2367" s="5"/>
      <c r="Z2367" s="5"/>
    </row>
    <row r="2368" spans="1:26" ht="15.6" x14ac:dyDescent="0.3">
      <c r="A2368" s="18" t="s">
        <v>8</v>
      </c>
      <c r="B2368" s="25" t="s">
        <v>2363</v>
      </c>
      <c r="C2368" s="2" t="str">
        <f ca="1">IFERROR(__xludf.DUMMYFUNCTION("GOOGLETRANSLATE(B2368, ""bn"", ""en"")"),"""One Muslim attacked, another Muslim saved. If they had not saved us, there would have been looting here.""")</f>
        <v>"One Muslim attacked, another Muslim saved. If they had not saved us, there would have been looting here."</v>
      </c>
      <c r="D2368" s="5"/>
      <c r="E2368" s="5"/>
      <c r="F2368" s="5"/>
      <c r="G2368" s="5"/>
      <c r="H2368" s="5"/>
      <c r="I2368" s="5"/>
      <c r="J2368" s="5"/>
      <c r="K2368" s="5"/>
      <c r="L2368" s="5"/>
      <c r="M2368" s="5"/>
      <c r="N2368" s="5"/>
      <c r="O2368" s="5"/>
      <c r="P2368" s="5"/>
      <c r="Q2368" s="5"/>
      <c r="R2368" s="5"/>
      <c r="S2368" s="5"/>
      <c r="T2368" s="5"/>
      <c r="U2368" s="5"/>
      <c r="V2368" s="5"/>
      <c r="W2368" s="5"/>
      <c r="X2368" s="5"/>
      <c r="Y2368" s="5"/>
      <c r="Z2368" s="5"/>
    </row>
    <row r="2369" spans="1:26" ht="15.6" x14ac:dyDescent="0.3">
      <c r="A2369" s="19" t="s">
        <v>5</v>
      </c>
      <c r="B2369" s="26" t="s">
        <v>2364</v>
      </c>
      <c r="C2369" s="2" t="str">
        <f ca="1">IFERROR(__xludf.DUMMYFUNCTION("GOOGLETRANSLATE(B2369, ""bn"", ""en"")"),"Between August and September 2013, clashes broke out between two major religious communities, Hindus and Muslims, in the Muzaffarnagar district of Uttar Pradesh state. The riots left at least 62 dead and 200 injured, including 42 Muslims and 20 Hindus, an"&amp;"d displaced more than 50,000.")</f>
        <v>Between August and September 2013, clashes broke out between two major religious communities, Hindus and Muslims, in the Muzaffarnagar district of Uttar Pradesh state. The riots left at least 62 dead and 200 injured, including 42 Muslims and 20 Hindus, and displaced more than 50,000.</v>
      </c>
      <c r="D2369" s="5"/>
      <c r="E2369" s="5"/>
      <c r="F2369" s="5"/>
      <c r="G2369" s="5"/>
      <c r="H2369" s="5"/>
      <c r="I2369" s="5"/>
      <c r="J2369" s="5"/>
      <c r="K2369" s="5"/>
      <c r="L2369" s="5"/>
      <c r="M2369" s="5"/>
      <c r="N2369" s="5"/>
      <c r="O2369" s="5"/>
      <c r="P2369" s="5"/>
      <c r="Q2369" s="5"/>
      <c r="R2369" s="5"/>
      <c r="S2369" s="5"/>
      <c r="T2369" s="5"/>
      <c r="U2369" s="5"/>
      <c r="V2369" s="5"/>
      <c r="W2369" s="5"/>
      <c r="X2369" s="5"/>
      <c r="Y2369" s="5"/>
      <c r="Z2369" s="5"/>
    </row>
    <row r="2370" spans="1:26" ht="15.6" x14ac:dyDescent="0.3">
      <c r="A2370" s="18" t="s">
        <v>8</v>
      </c>
      <c r="B2370" s="24" t="s">
        <v>2365</v>
      </c>
      <c r="C2370" s="2" t="str">
        <f ca="1">IFERROR(__xludf.DUMMYFUNCTION("GOOGLETRANSLATE(B2370, ""bn"", ""en"")"),"Miscreants entered a Kalimandir in Comilla at night and smashed the idol of the goddess with a hammer.")</f>
        <v>Miscreants entered a Kalimandir in Comilla at night and smashed the idol of the goddess with a hammer.</v>
      </c>
      <c r="D2370" s="5"/>
      <c r="E2370" s="5"/>
      <c r="F2370" s="5"/>
      <c r="G2370" s="5"/>
      <c r="H2370" s="5"/>
      <c r="I2370" s="5"/>
      <c r="J2370" s="5"/>
      <c r="K2370" s="5"/>
      <c r="L2370" s="5"/>
      <c r="M2370" s="5"/>
      <c r="N2370" s="5"/>
      <c r="O2370" s="5"/>
      <c r="P2370" s="5"/>
      <c r="Q2370" s="5"/>
      <c r="R2370" s="5"/>
      <c r="S2370" s="5"/>
      <c r="T2370" s="5"/>
      <c r="U2370" s="5"/>
      <c r="V2370" s="5"/>
      <c r="W2370" s="5"/>
      <c r="X2370" s="5"/>
      <c r="Y2370" s="5"/>
      <c r="Z2370" s="5"/>
    </row>
    <row r="2371" spans="1:26" ht="15.6" x14ac:dyDescent="0.3">
      <c r="A2371" s="18" t="s">
        <v>3</v>
      </c>
      <c r="B2371" s="24" t="s">
        <v>2366</v>
      </c>
      <c r="C2371" s="2" t="str">
        <f ca="1">IFERROR(__xludf.DUMMYFUNCTION("GOOGLETRANSLATE(B2371, ""bn"", ""en"")"),"Faith and trust teach a man to persevere in the face of danger.")</f>
        <v>Faith and trust teach a man to persevere in the face of danger.</v>
      </c>
      <c r="D2371" s="5"/>
      <c r="E2371" s="5"/>
      <c r="F2371" s="5"/>
      <c r="G2371" s="5"/>
      <c r="H2371" s="5"/>
      <c r="I2371" s="5"/>
      <c r="J2371" s="5"/>
      <c r="K2371" s="5"/>
      <c r="L2371" s="5"/>
      <c r="M2371" s="5"/>
      <c r="N2371" s="5"/>
      <c r="O2371" s="5"/>
      <c r="P2371" s="5"/>
      <c r="Q2371" s="5"/>
      <c r="R2371" s="5"/>
      <c r="S2371" s="5"/>
      <c r="T2371" s="5"/>
      <c r="U2371" s="5"/>
      <c r="V2371" s="5"/>
      <c r="W2371" s="5"/>
      <c r="X2371" s="5"/>
      <c r="Y2371" s="5"/>
      <c r="Z2371" s="5"/>
    </row>
    <row r="2372" spans="1:26" ht="15.6" x14ac:dyDescent="0.3">
      <c r="A2372" s="19" t="s">
        <v>5</v>
      </c>
      <c r="B2372" s="26" t="s">
        <v>2367</v>
      </c>
      <c r="C2372" s="2" t="str">
        <f ca="1">IFERROR(__xludf.DUMMYFUNCTION("GOOGLETRANSLATE(B2372, ""bn"", ""en"")"),"On investigation they found Matiur Rahman Nizami guilty of masterminding the massacre. Nizami was convicted in 2016 and sentenced to death by hanging.")</f>
        <v>On investigation they found Matiur Rahman Nizami guilty of masterminding the massacre. Nizami was convicted in 2016 and sentenced to death by hanging.</v>
      </c>
      <c r="D2372" s="5"/>
      <c r="E2372" s="5"/>
      <c r="F2372" s="5"/>
      <c r="G2372" s="5"/>
      <c r="H2372" s="5"/>
      <c r="I2372" s="5"/>
      <c r="J2372" s="5"/>
      <c r="K2372" s="5"/>
      <c r="L2372" s="5"/>
      <c r="M2372" s="5"/>
      <c r="N2372" s="5"/>
      <c r="O2372" s="5"/>
      <c r="P2372" s="5"/>
      <c r="Q2372" s="5"/>
      <c r="R2372" s="5"/>
      <c r="S2372" s="5"/>
      <c r="T2372" s="5"/>
      <c r="U2372" s="5"/>
      <c r="V2372" s="5"/>
      <c r="W2372" s="5"/>
      <c r="X2372" s="5"/>
      <c r="Y2372" s="5"/>
      <c r="Z2372" s="5"/>
    </row>
    <row r="2373" spans="1:26" ht="15.6" x14ac:dyDescent="0.3">
      <c r="A2373" s="19" t="s">
        <v>8</v>
      </c>
      <c r="B2373" s="26" t="s">
        <v>2368</v>
      </c>
      <c r="C2373" s="2" t="str">
        <f ca="1">IFERROR(__xludf.DUMMYFUNCTION("GOOGLETRANSLATE(B2373, ""bn"", ""en"")"),"People standing outside an Islamic center were physically attacked, injuring several Muslims. The event took place in 2021 in Canada.")</f>
        <v>People standing outside an Islamic center were physically attacked, injuring several Muslims. The event took place in 2021 in Canada.</v>
      </c>
      <c r="D2373" s="5"/>
      <c r="E2373" s="5"/>
      <c r="F2373" s="5"/>
      <c r="G2373" s="5"/>
      <c r="H2373" s="5"/>
      <c r="I2373" s="5"/>
      <c r="J2373" s="5"/>
      <c r="K2373" s="5"/>
      <c r="L2373" s="5"/>
      <c r="M2373" s="5"/>
      <c r="N2373" s="5"/>
      <c r="O2373" s="5"/>
      <c r="P2373" s="5"/>
      <c r="Q2373" s="5"/>
      <c r="R2373" s="5"/>
      <c r="S2373" s="5"/>
      <c r="T2373" s="5"/>
      <c r="U2373" s="5"/>
      <c r="V2373" s="5"/>
      <c r="W2373" s="5"/>
      <c r="X2373" s="5"/>
      <c r="Y2373" s="5"/>
      <c r="Z2373" s="5"/>
    </row>
    <row r="2374" spans="1:26" ht="15.6" x14ac:dyDescent="0.3">
      <c r="A2374" s="18" t="s">
        <v>3</v>
      </c>
      <c r="B2374" s="25" t="s">
        <v>2369</v>
      </c>
      <c r="C2374" s="2" t="str">
        <f ca="1">IFERROR(__xludf.DUMMYFUNCTION("GOOGLETRANSLATE(B2374, ""bn"", ""en"")"),"The main sources of knowledge about the life of Muhammad and his contemporaries are the Hadith and the Seerat. But what is important is that these facts were recorded 150-200 years after Muhammad's death, when the events of his life were transmitted orall"&amp;"y.[")</f>
        <v>The main sources of knowledge about the life of Muhammad and his contemporaries are the Hadith and the Seerat. But what is important is that these facts were recorded 150-200 years after Muhammad's death, when the events of his life were transmitted orally.[</v>
      </c>
      <c r="D2374" s="5"/>
      <c r="E2374" s="5"/>
      <c r="F2374" s="5"/>
      <c r="G2374" s="5"/>
      <c r="H2374" s="5"/>
      <c r="I2374" s="5"/>
      <c r="J2374" s="5"/>
      <c r="K2374" s="5"/>
      <c r="L2374" s="5"/>
      <c r="M2374" s="5"/>
      <c r="N2374" s="5"/>
      <c r="O2374" s="5"/>
      <c r="P2374" s="5"/>
      <c r="Q2374" s="5"/>
      <c r="R2374" s="5"/>
      <c r="S2374" s="5"/>
      <c r="T2374" s="5"/>
      <c r="U2374" s="5"/>
      <c r="V2374" s="5"/>
      <c r="W2374" s="5"/>
      <c r="X2374" s="5"/>
      <c r="Y2374" s="5"/>
      <c r="Z2374" s="5"/>
    </row>
    <row r="2375" spans="1:26" ht="15.6" x14ac:dyDescent="0.3">
      <c r="A2375" s="18" t="s">
        <v>5</v>
      </c>
      <c r="B2375" s="24" t="s">
        <v>2370</v>
      </c>
      <c r="C2375" s="2" t="str">
        <f ca="1">IFERROR(__xludf.DUMMYFUNCTION("GOOGLETRANSLATE(B2375, ""bn"", ""en"")"),"The only Hindu child in the neighborhood was expelled from school due to religious pressure, and later committed suicide; Another 10 people were killed in the protest.")</f>
        <v>The only Hindu child in the neighborhood was expelled from school due to religious pressure, and later committed suicide; Another 10 people were killed in the protest.</v>
      </c>
      <c r="D2375" s="5"/>
      <c r="E2375" s="5"/>
      <c r="F2375" s="5"/>
      <c r="G2375" s="5"/>
      <c r="H2375" s="5"/>
      <c r="I2375" s="5"/>
      <c r="J2375" s="5"/>
      <c r="K2375" s="5"/>
      <c r="L2375" s="5"/>
      <c r="M2375" s="5"/>
      <c r="N2375" s="5"/>
      <c r="O2375" s="5"/>
      <c r="P2375" s="5"/>
      <c r="Q2375" s="5"/>
      <c r="R2375" s="5"/>
      <c r="S2375" s="5"/>
      <c r="T2375" s="5"/>
      <c r="U2375" s="5"/>
      <c r="V2375" s="5"/>
      <c r="W2375" s="5"/>
      <c r="X2375" s="5"/>
      <c r="Y2375" s="5"/>
      <c r="Z2375" s="5"/>
    </row>
    <row r="2376" spans="1:26" ht="15.6" x14ac:dyDescent="0.3">
      <c r="A2376" s="18" t="s">
        <v>23</v>
      </c>
      <c r="B2376" s="25" t="s">
        <v>2371</v>
      </c>
      <c r="C2376" s="2" t="str">
        <f ca="1">IFERROR(__xludf.DUMMYFUNCTION("GOOGLETRANSLATE(B2376, ""bn"", ""en"")"),"There is no effective protest against those who kill people in the name of religion and loot the houses of people of different religions. The administration is silent, and the politicians speak of absolute tolerance.")</f>
        <v>There is no effective protest against those who kill people in the name of religion and loot the houses of people of different religions. The administration is silent, and the politicians speak of absolute tolerance.</v>
      </c>
      <c r="D2376" s="6"/>
      <c r="E2376" s="2"/>
      <c r="F2376" s="2"/>
      <c r="G2376" s="2"/>
      <c r="H2376" s="3"/>
      <c r="I2376" s="3"/>
      <c r="J2376" s="3"/>
      <c r="K2376" s="3"/>
      <c r="L2376" s="3"/>
      <c r="M2376" s="3"/>
      <c r="N2376" s="3"/>
      <c r="O2376" s="3"/>
      <c r="P2376" s="3"/>
      <c r="Q2376" s="3"/>
      <c r="R2376" s="3"/>
      <c r="S2376" s="3"/>
      <c r="T2376" s="3"/>
      <c r="U2376" s="3"/>
      <c r="V2376" s="3"/>
      <c r="W2376" s="3"/>
      <c r="X2376" s="3"/>
      <c r="Y2376" s="3"/>
      <c r="Z2376" s="3"/>
    </row>
    <row r="2377" spans="1:26" ht="15.6" x14ac:dyDescent="0.3">
      <c r="A2377" s="18" t="s">
        <v>5</v>
      </c>
      <c r="B2377" s="24" t="s">
        <v>2372</v>
      </c>
      <c r="C2377" s="2" t="str">
        <f ca="1">IFERROR(__xludf.DUMMYFUNCTION("GOOGLETRANSLATE(B2377, ""bn"", ""en"")"),"17 people were killed when a Christian community opened fire on children.")</f>
        <v>17 people were killed when a Christian community opened fire on children.</v>
      </c>
      <c r="D2377" s="5"/>
      <c r="E2377" s="5"/>
      <c r="F2377" s="5"/>
      <c r="G2377" s="5"/>
      <c r="H2377" s="5"/>
      <c r="I2377" s="5"/>
      <c r="J2377" s="5"/>
      <c r="K2377" s="5"/>
      <c r="L2377" s="5"/>
      <c r="M2377" s="5"/>
      <c r="N2377" s="5"/>
      <c r="O2377" s="5"/>
      <c r="P2377" s="5"/>
      <c r="Q2377" s="5"/>
      <c r="R2377" s="5"/>
      <c r="S2377" s="5"/>
      <c r="T2377" s="5"/>
      <c r="U2377" s="5"/>
      <c r="V2377" s="5"/>
      <c r="W2377" s="5"/>
      <c r="X2377" s="5"/>
      <c r="Y2377" s="5"/>
      <c r="Z2377" s="5"/>
    </row>
    <row r="2378" spans="1:26" ht="15.6" x14ac:dyDescent="0.3">
      <c r="A2378" s="18" t="s">
        <v>8</v>
      </c>
      <c r="B2378" s="24" t="s">
        <v>2373</v>
      </c>
      <c r="C2378" s="2" t="str">
        <f ca="1">IFERROR(__xludf.DUMMYFUNCTION("GOOGLETRANSLATE(B2378, ""bn"", ""en"")"),"At Pirojpur, the small temple of the household deity set up next to the Hindu settlement was demolished and the idols were thrown into a nearby canal.")</f>
        <v>At Pirojpur, the small temple of the household deity set up next to the Hindu settlement was demolished and the idols were thrown into a nearby canal.</v>
      </c>
      <c r="D2378" s="5"/>
      <c r="E2378" s="5"/>
      <c r="F2378" s="5"/>
      <c r="G2378" s="5"/>
      <c r="H2378" s="5"/>
      <c r="I2378" s="5"/>
      <c r="J2378" s="5"/>
      <c r="K2378" s="5"/>
      <c r="L2378" s="5"/>
      <c r="M2378" s="5"/>
      <c r="N2378" s="5"/>
      <c r="O2378" s="5"/>
      <c r="P2378" s="5"/>
      <c r="Q2378" s="5"/>
      <c r="R2378" s="5"/>
      <c r="S2378" s="5"/>
      <c r="T2378" s="5"/>
      <c r="U2378" s="5"/>
      <c r="V2378" s="5"/>
      <c r="W2378" s="5"/>
      <c r="X2378" s="5"/>
      <c r="Y2378" s="5"/>
      <c r="Z2378" s="5"/>
    </row>
    <row r="2379" spans="1:26" ht="15.6" x14ac:dyDescent="0.3">
      <c r="A2379" s="19" t="s">
        <v>5</v>
      </c>
      <c r="B2379" s="26" t="s">
        <v>2374</v>
      </c>
      <c r="C2379" s="2" t="str">
        <f ca="1">IFERROR(__xludf.DUMMYFUNCTION("GOOGLETRANSLATE(B2379, ""bn"", ""en"")"),"The Nellie Massacre was a six-hour massacre on February 18, 1983.")</f>
        <v>The Nellie Massacre was a six-hour massacre on February 18, 1983.</v>
      </c>
      <c r="D2379" s="5"/>
      <c r="E2379" s="5"/>
      <c r="F2379" s="5"/>
      <c r="G2379" s="5"/>
      <c r="H2379" s="5"/>
      <c r="I2379" s="5"/>
      <c r="J2379" s="5"/>
      <c r="K2379" s="5"/>
      <c r="L2379" s="5"/>
      <c r="M2379" s="5"/>
      <c r="N2379" s="5"/>
      <c r="O2379" s="5"/>
      <c r="P2379" s="5"/>
      <c r="Q2379" s="5"/>
      <c r="R2379" s="5"/>
      <c r="S2379" s="5"/>
      <c r="T2379" s="5"/>
      <c r="U2379" s="5"/>
      <c r="V2379" s="5"/>
      <c r="W2379" s="5"/>
      <c r="X2379" s="5"/>
      <c r="Y2379" s="5"/>
      <c r="Z2379" s="5"/>
    </row>
    <row r="2380" spans="1:26" ht="15.6" x14ac:dyDescent="0.3">
      <c r="A2380" s="18" t="s">
        <v>23</v>
      </c>
      <c r="B2380" s="25" t="s">
        <v>2375</v>
      </c>
      <c r="C2380" s="2" t="str">
        <f ca="1">IFERROR(__xludf.DUMMYFUNCTION("GOOGLETRANSLATE(B2380, ""bn"", ""en"")"),"A look at other posts by social media users suggests that a large proportion of them are anti-Hindu and anti-Muslim.")</f>
        <v>A look at other posts by social media users suggests that a large proportion of them are anti-Hindu and anti-Muslim.</v>
      </c>
      <c r="D2380" s="2"/>
      <c r="E2380" s="2"/>
      <c r="F2380" s="2"/>
      <c r="G2380" s="2"/>
      <c r="H2380" s="3"/>
      <c r="I2380" s="3"/>
      <c r="J2380" s="3"/>
      <c r="K2380" s="3"/>
      <c r="L2380" s="3"/>
      <c r="M2380" s="3"/>
      <c r="N2380" s="3"/>
      <c r="O2380" s="3"/>
      <c r="P2380" s="3"/>
      <c r="Q2380" s="3"/>
      <c r="R2380" s="3"/>
      <c r="S2380" s="3"/>
      <c r="T2380" s="3"/>
      <c r="U2380" s="3"/>
      <c r="V2380" s="3"/>
      <c r="W2380" s="3"/>
      <c r="X2380" s="3"/>
      <c r="Y2380" s="3"/>
      <c r="Z2380" s="3"/>
    </row>
    <row r="2381" spans="1:26" ht="15.6" x14ac:dyDescent="0.3">
      <c r="A2381" s="18" t="s">
        <v>23</v>
      </c>
      <c r="B2381" s="25" t="s">
        <v>2376</v>
      </c>
      <c r="C2381" s="2" t="str">
        <f ca="1">IFERROR(__xludf.DUMMYFUNCTION("GOOGLETRANSLATE(B2381, ""bn"", ""en"")"),"Apostates insult Islam, commit heinous acts in the name of religion, while claiming to be Muslims. They are actually enemies of Islam, hypocrites, and cancer of Muslim society.")</f>
        <v>Apostates insult Islam, commit heinous acts in the name of religion, while claiming to be Muslims. They are actually enemies of Islam, hypocrites, and cancer of Muslim society.</v>
      </c>
      <c r="D2381" s="5"/>
      <c r="E2381" s="5"/>
      <c r="F2381" s="5"/>
      <c r="G2381" s="5"/>
      <c r="H2381" s="5"/>
      <c r="I2381" s="5"/>
      <c r="J2381" s="5"/>
      <c r="K2381" s="5"/>
      <c r="L2381" s="5"/>
      <c r="M2381" s="5"/>
      <c r="N2381" s="5"/>
      <c r="O2381" s="5"/>
      <c r="P2381" s="5"/>
      <c r="Q2381" s="5"/>
      <c r="R2381" s="5"/>
      <c r="S2381" s="5"/>
      <c r="T2381" s="5"/>
      <c r="U2381" s="5"/>
      <c r="V2381" s="5"/>
      <c r="W2381" s="5"/>
      <c r="X2381" s="5"/>
      <c r="Y2381" s="5"/>
      <c r="Z2381" s="5"/>
    </row>
    <row r="2382" spans="1:26" ht="15.6" x14ac:dyDescent="0.3">
      <c r="A2382" s="18" t="s">
        <v>5</v>
      </c>
      <c r="B2382" s="24" t="s">
        <v>2377</v>
      </c>
      <c r="C2382" s="2" t="str">
        <f ca="1">IFERROR(__xludf.DUMMYFUNCTION("GOOGLETRANSLATE(B2382, ""bn"", ""en"")"),"A Christian family is forced to apostatize, burned to death for disobedience, the child's body is found in a well. Total killed: 7 people.")</f>
        <v>A Christian family is forced to apostatize, burned to death for disobedience, the child's body is found in a well. Total killed: 7 people.</v>
      </c>
      <c r="D2382" s="5"/>
      <c r="E2382" s="5"/>
      <c r="F2382" s="5"/>
      <c r="G2382" s="5"/>
      <c r="H2382" s="5"/>
      <c r="I2382" s="5"/>
      <c r="J2382" s="5"/>
      <c r="K2382" s="5"/>
      <c r="L2382" s="5"/>
      <c r="M2382" s="5"/>
      <c r="N2382" s="5"/>
      <c r="O2382" s="5"/>
      <c r="P2382" s="5"/>
      <c r="Q2382" s="5"/>
      <c r="R2382" s="5"/>
      <c r="S2382" s="5"/>
      <c r="T2382" s="5"/>
      <c r="U2382" s="5"/>
      <c r="V2382" s="5"/>
      <c r="W2382" s="5"/>
      <c r="X2382" s="5"/>
      <c r="Y2382" s="5"/>
      <c r="Z2382" s="5"/>
    </row>
    <row r="2383" spans="1:26" ht="15.6" x14ac:dyDescent="0.3">
      <c r="A2383" s="19" t="s">
        <v>8</v>
      </c>
      <c r="B2383" s="26" t="s">
        <v>2378</v>
      </c>
      <c r="C2383" s="2" t="str">
        <f ca="1">IFERROR(__xludf.DUMMYFUNCTION("GOOGLETRANSLATE(B2383, ""bn"", ""en"")"),"A Hindu family was threatened to stop the jalsa in Sunamganj, after which the extremists set fire to the mandap.")</f>
        <v>A Hindu family was threatened to stop the jalsa in Sunamganj, after which the extremists set fire to the mandap.</v>
      </c>
      <c r="D2383" s="5"/>
      <c r="E2383" s="5"/>
      <c r="F2383" s="5"/>
      <c r="G2383" s="5"/>
      <c r="H2383" s="5"/>
      <c r="I2383" s="5"/>
      <c r="J2383" s="5"/>
      <c r="K2383" s="5"/>
      <c r="L2383" s="5"/>
      <c r="M2383" s="5"/>
      <c r="N2383" s="5"/>
      <c r="O2383" s="5"/>
      <c r="P2383" s="5"/>
      <c r="Q2383" s="5"/>
      <c r="R2383" s="5"/>
      <c r="S2383" s="5"/>
      <c r="T2383" s="5"/>
      <c r="U2383" s="5"/>
      <c r="V2383" s="5"/>
      <c r="W2383" s="5"/>
      <c r="X2383" s="5"/>
      <c r="Y2383" s="5"/>
      <c r="Z2383" s="5"/>
    </row>
    <row r="2384" spans="1:26" ht="15.6" x14ac:dyDescent="0.3">
      <c r="A2384" s="18" t="s">
        <v>5</v>
      </c>
      <c r="B2384" s="25" t="s">
        <v>2379</v>
      </c>
      <c r="C2384" s="2" t="str">
        <f ca="1">IFERROR(__xludf.DUMMYFUNCTION("GOOGLETRANSLATE(B2384, ""bn"", ""en"")"),"The men, including Kamini Kumar Dev, were lined up and killed in bursts of fire. Local accomplices including Razakar and Albadar set fire to 19 houses and 6 barns in the village.")</f>
        <v>The men, including Kamini Kumar Dev, were lined up and killed in bursts of fire. Local accomplices including Razakar and Albadar set fire to 19 houses and 6 barns in the village.</v>
      </c>
      <c r="D2384" s="6"/>
      <c r="E2384" s="6"/>
      <c r="F2384" s="2"/>
      <c r="G2384" s="2"/>
      <c r="H2384" s="3"/>
      <c r="I2384" s="3"/>
      <c r="J2384" s="3"/>
      <c r="K2384" s="3"/>
      <c r="L2384" s="3"/>
      <c r="M2384" s="3"/>
      <c r="N2384" s="3"/>
      <c r="O2384" s="3"/>
      <c r="P2384" s="3"/>
      <c r="Q2384" s="3"/>
      <c r="R2384" s="3"/>
      <c r="S2384" s="3"/>
      <c r="T2384" s="3"/>
      <c r="U2384" s="3"/>
      <c r="V2384" s="3"/>
      <c r="W2384" s="3"/>
      <c r="X2384" s="3"/>
      <c r="Y2384" s="3"/>
      <c r="Z2384" s="3"/>
    </row>
    <row r="2385" spans="1:26" ht="15.6" x14ac:dyDescent="0.3">
      <c r="A2385" s="18" t="s">
        <v>3</v>
      </c>
      <c r="B2385" s="25" t="s">
        <v>2380</v>
      </c>
      <c r="C2385" s="2" t="str">
        <f ca="1">IFERROR(__xludf.DUMMYFUNCTION("GOOGLETRANSLATE(B2385, ""bn"", ""en"")"),"Islam says to show friendly attitude towards other religions,")</f>
        <v>Islam says to show friendly attitude towards other religions,</v>
      </c>
      <c r="D2385" s="5"/>
      <c r="E2385" s="5"/>
      <c r="F2385" s="5"/>
      <c r="G2385" s="5"/>
      <c r="H2385" s="5"/>
      <c r="I2385" s="5"/>
      <c r="J2385" s="5"/>
      <c r="K2385" s="5"/>
      <c r="L2385" s="5"/>
      <c r="M2385" s="5"/>
      <c r="N2385" s="5"/>
      <c r="O2385" s="5"/>
      <c r="P2385" s="5"/>
      <c r="Q2385" s="5"/>
      <c r="R2385" s="5"/>
      <c r="S2385" s="5"/>
      <c r="T2385" s="5"/>
      <c r="U2385" s="5"/>
      <c r="V2385" s="5"/>
      <c r="W2385" s="5"/>
      <c r="X2385" s="5"/>
      <c r="Y2385" s="5"/>
      <c r="Z2385" s="5"/>
    </row>
    <row r="2386" spans="1:26" ht="15.6" x14ac:dyDescent="0.3">
      <c r="A2386" s="18" t="s">
        <v>8</v>
      </c>
      <c r="B2386" s="25" t="s">
        <v>2381</v>
      </c>
      <c r="C2386" s="2" t="str">
        <f ca="1">IFERROR(__xludf.DUMMYFUNCTION("GOOGLETRANSLATE(B2386, ""bn"", ""en"")"),"Muslims in Bangladesh have taken to the streets to protest against the insulting of the Prophet, breaking statues, burning banners and swearing in the name of Allah that insults to Islam will not be tolerated.")</f>
        <v>Muslims in Bangladesh have taken to the streets to protest against the insulting of the Prophet, breaking statues, burning banners and swearing in the name of Allah that insults to Islam will not be tolerated.</v>
      </c>
      <c r="D2386" s="5"/>
      <c r="E2386" s="5"/>
      <c r="F2386" s="5"/>
      <c r="G2386" s="5"/>
      <c r="H2386" s="5"/>
      <c r="I2386" s="5"/>
      <c r="J2386" s="5"/>
      <c r="K2386" s="5"/>
      <c r="L2386" s="5"/>
      <c r="M2386" s="5"/>
      <c r="N2386" s="5"/>
      <c r="O2386" s="5"/>
      <c r="P2386" s="5"/>
      <c r="Q2386" s="5"/>
      <c r="R2386" s="5"/>
      <c r="S2386" s="5"/>
      <c r="T2386" s="5"/>
      <c r="U2386" s="5"/>
      <c r="V2386" s="5"/>
      <c r="W2386" s="5"/>
      <c r="X2386" s="5"/>
      <c r="Y2386" s="5"/>
      <c r="Z2386" s="5"/>
    </row>
    <row r="2387" spans="1:26" ht="15.6" x14ac:dyDescent="0.3">
      <c r="A2387" s="18" t="s">
        <v>8</v>
      </c>
      <c r="B2387" s="25" t="s">
        <v>2382</v>
      </c>
      <c r="C2387" s="2" t="str">
        <f ca="1">IFERROR(__xludf.DUMMYFUNCTION("GOOGLETRANSLATE(B2387, ""bn"", ""en"")"),"Some were injured. Earlier, some people were injured in attacks on a Shia religious place in Hosni Dalan in Dhaka and a village in Bogra in the month of Muharram.")</f>
        <v>Some were injured. Earlier, some people were injured in attacks on a Shia religious place in Hosni Dalan in Dhaka and a village in Bogra in the month of Muharram.</v>
      </c>
      <c r="D2387" s="2"/>
      <c r="E2387" s="2"/>
      <c r="F2387" s="2"/>
      <c r="G2387" s="2"/>
      <c r="H2387" s="5"/>
      <c r="I2387" s="5"/>
      <c r="J2387" s="5"/>
      <c r="K2387" s="5"/>
      <c r="L2387" s="5"/>
      <c r="M2387" s="5"/>
      <c r="N2387" s="5"/>
      <c r="O2387" s="5"/>
      <c r="P2387" s="5"/>
      <c r="Q2387" s="5"/>
      <c r="R2387" s="5"/>
      <c r="S2387" s="5"/>
      <c r="T2387" s="5"/>
      <c r="U2387" s="5"/>
      <c r="V2387" s="5"/>
      <c r="W2387" s="5"/>
      <c r="X2387" s="5"/>
      <c r="Y2387" s="5"/>
      <c r="Z2387" s="5"/>
    </row>
    <row r="2388" spans="1:26" ht="15.6" x14ac:dyDescent="0.3">
      <c r="A2388" s="18" t="s">
        <v>3</v>
      </c>
      <c r="B2388" s="25" t="s">
        <v>2383</v>
      </c>
      <c r="C2388" s="2" t="str">
        <f ca="1">IFERROR(__xludf.DUMMYFUNCTION("GOOGLETRANSLATE(B2388, ""bn"", ""en"")"),"Religion and politics are two different things, if religion is mixed with politics, religion gets corrupted along with politics.")</f>
        <v>Religion and politics are two different things, if religion is mixed with politics, religion gets corrupted along with politics.</v>
      </c>
      <c r="D2388" s="2"/>
      <c r="E2388" s="2"/>
      <c r="F2388" s="2"/>
      <c r="G2388" s="2"/>
      <c r="H2388" s="3"/>
      <c r="I2388" s="3"/>
      <c r="J2388" s="3"/>
      <c r="K2388" s="3"/>
      <c r="L2388" s="3"/>
      <c r="M2388" s="3"/>
      <c r="N2388" s="3"/>
      <c r="O2388" s="3"/>
      <c r="P2388" s="3"/>
      <c r="Q2388" s="3"/>
      <c r="R2388" s="3"/>
      <c r="S2388" s="3"/>
      <c r="T2388" s="3"/>
      <c r="U2388" s="3"/>
      <c r="V2388" s="3"/>
      <c r="W2388" s="3"/>
      <c r="X2388" s="3"/>
      <c r="Y2388" s="3"/>
      <c r="Z2388" s="3"/>
    </row>
    <row r="2389" spans="1:26" ht="15.6" x14ac:dyDescent="0.3">
      <c r="A2389" s="19" t="s">
        <v>23</v>
      </c>
      <c r="B2389" s="26" t="s">
        <v>2384</v>
      </c>
      <c r="C2389" s="2" t="str">
        <f ca="1">IFERROR(__xludf.DUMMYFUNCTION("GOOGLETRANSLATE(B2389, ""bn"", ""en"")"),"The Prophet feared the excessive use of religion, but religious extremists did not. Religious traders are active in Bangladesh.")</f>
        <v>The Prophet feared the excessive use of religion, but religious extremists did not. Religious traders are active in Bangladesh.</v>
      </c>
      <c r="D2389" s="7"/>
      <c r="E2389" s="7"/>
      <c r="F2389" s="7"/>
      <c r="G2389" s="7"/>
      <c r="H2389" s="5"/>
      <c r="I2389" s="5"/>
      <c r="J2389" s="5"/>
      <c r="K2389" s="5"/>
      <c r="L2389" s="5"/>
      <c r="M2389" s="5"/>
      <c r="N2389" s="5"/>
      <c r="O2389" s="5"/>
      <c r="P2389" s="5"/>
      <c r="Q2389" s="5"/>
      <c r="R2389" s="5"/>
      <c r="S2389" s="5"/>
      <c r="T2389" s="5"/>
      <c r="U2389" s="5"/>
      <c r="V2389" s="5"/>
      <c r="W2389" s="5"/>
      <c r="X2389" s="5"/>
      <c r="Y2389" s="5"/>
      <c r="Z2389" s="5"/>
    </row>
    <row r="2390" spans="1:26" ht="15.6" x14ac:dyDescent="0.3">
      <c r="A2390" s="18" t="s">
        <v>23</v>
      </c>
      <c r="B2390" s="25" t="s">
        <v>2385</v>
      </c>
      <c r="C2390" s="2" t="str">
        <f ca="1">IFERROR(__xludf.DUMMYFUNCTION("GOOGLETRANSLATE(B2390, ""bn"", ""en"")"),"In any anti-Islamic work, the names that will come first, will look like Muslims.")</f>
        <v>In any anti-Islamic work, the names that will come first, will look like Muslims.</v>
      </c>
      <c r="D2390" s="2"/>
      <c r="E2390" s="2"/>
      <c r="F2390" s="2"/>
      <c r="G2390" s="2"/>
      <c r="H2390" s="5"/>
      <c r="I2390" s="5"/>
      <c r="J2390" s="5"/>
      <c r="K2390" s="5"/>
      <c r="L2390" s="5"/>
      <c r="M2390" s="5"/>
      <c r="N2390" s="5"/>
      <c r="O2390" s="5"/>
      <c r="P2390" s="5"/>
      <c r="Q2390" s="5"/>
      <c r="R2390" s="5"/>
      <c r="S2390" s="5"/>
      <c r="T2390" s="5"/>
      <c r="U2390" s="5"/>
      <c r="V2390" s="5"/>
      <c r="W2390" s="5"/>
      <c r="X2390" s="5"/>
      <c r="Y2390" s="5"/>
      <c r="Z2390" s="5"/>
    </row>
    <row r="2391" spans="1:26" ht="15.6" x14ac:dyDescent="0.3">
      <c r="A2391" s="18" t="s">
        <v>23</v>
      </c>
      <c r="B2391" s="25" t="s">
        <v>2386</v>
      </c>
      <c r="C2391" s="2" t="str">
        <f ca="1">IFERROR(__xludf.DUMMYFUNCTION("GOOGLETRANSLATE(B2391, ""bn"", ""en"")"),"Moira is not at peace either. There are various discussions among people about whether it is a curse or a blessing, whether to bury or burn after death. The body should be taken according to religious rules, should not be given to the medical college.")</f>
        <v>Moira is not at peace either. There are various discussions among people about whether it is a curse or a blessing, whether to bury or burn after death. The body should be taken according to religious rules, should not be given to the medical college.</v>
      </c>
      <c r="D2391" s="2"/>
      <c r="E2391" s="2"/>
      <c r="F2391" s="2"/>
      <c r="G2391" s="2"/>
      <c r="H2391" s="3"/>
      <c r="I2391" s="3"/>
      <c r="J2391" s="3"/>
      <c r="K2391" s="3"/>
      <c r="L2391" s="3"/>
      <c r="M2391" s="3"/>
      <c r="N2391" s="3"/>
      <c r="O2391" s="3"/>
      <c r="P2391" s="3"/>
      <c r="Q2391" s="3"/>
      <c r="R2391" s="3"/>
      <c r="S2391" s="3"/>
      <c r="T2391" s="3"/>
      <c r="U2391" s="3"/>
      <c r="V2391" s="3"/>
      <c r="W2391" s="3"/>
      <c r="X2391" s="3"/>
      <c r="Y2391" s="3"/>
      <c r="Z2391" s="3"/>
    </row>
    <row r="2392" spans="1:26" ht="15.6" x14ac:dyDescent="0.3">
      <c r="A2392" s="18" t="s">
        <v>3</v>
      </c>
      <c r="B2392" s="25" t="s">
        <v>2387</v>
      </c>
      <c r="C2392" s="2" t="str">
        <f ca="1">IFERROR(__xludf.DUMMYFUNCTION("GOOGLETRANSLATE(B2392, ""bn"", ""en"")"),"Jainism places great importance on special respect for life and non-violence towards living beings, which is the inspiration for a peaceful society.")</f>
        <v>Jainism places great importance on special respect for life and non-violence towards living beings, which is the inspiration for a peaceful society.</v>
      </c>
      <c r="D2392" s="5"/>
      <c r="E2392" s="5"/>
      <c r="F2392" s="5"/>
      <c r="G2392" s="5"/>
      <c r="H2392" s="5"/>
      <c r="I2392" s="5"/>
      <c r="J2392" s="5"/>
      <c r="K2392" s="5"/>
      <c r="L2392" s="5"/>
      <c r="M2392" s="5"/>
      <c r="N2392" s="5"/>
      <c r="O2392" s="5"/>
      <c r="P2392" s="5"/>
      <c r="Q2392" s="5"/>
      <c r="R2392" s="5"/>
      <c r="S2392" s="5"/>
      <c r="T2392" s="5"/>
      <c r="U2392" s="5"/>
      <c r="V2392" s="5"/>
      <c r="W2392" s="5"/>
      <c r="X2392" s="5"/>
      <c r="Y2392" s="5"/>
      <c r="Z2392" s="5"/>
    </row>
    <row r="2393" spans="1:26" ht="15.6" x14ac:dyDescent="0.3">
      <c r="A2393" s="19" t="s">
        <v>8</v>
      </c>
      <c r="B2393" s="26" t="s">
        <v>2388</v>
      </c>
      <c r="C2393" s="2" t="str">
        <f ca="1">IFERROR(__xludf.DUMMYFUNCTION("GOOGLETRANSLATE(B2393, ""bn"", ""en"")"),"Apart from this incident, the Muslims continued to carry out horrible cruelty like torture, torture, looting, murder, rape, abduction on Hindus in various degrees till 1993. [2] Especially during the entire period of 1992, the level of this horror was ind"&amp;"escribable.")</f>
        <v>Apart from this incident, the Muslims continued to carry out horrible cruelty like torture, torture, looting, murder, rape, abduction on Hindus in various degrees till 1993. [2] Especially during the entire period of 1992, the level of this horror was indescribable.</v>
      </c>
      <c r="D2393" s="7"/>
      <c r="E2393" s="7"/>
      <c r="F2393" s="7"/>
      <c r="G2393" s="7"/>
      <c r="H2393" s="5"/>
      <c r="I2393" s="5"/>
      <c r="J2393" s="5"/>
      <c r="K2393" s="5"/>
      <c r="L2393" s="5"/>
      <c r="M2393" s="5"/>
      <c r="N2393" s="5"/>
      <c r="O2393" s="5"/>
      <c r="P2393" s="5"/>
      <c r="Q2393" s="5"/>
      <c r="R2393" s="5"/>
      <c r="S2393" s="5"/>
      <c r="T2393" s="5"/>
      <c r="U2393" s="5"/>
      <c r="V2393" s="5"/>
      <c r="W2393" s="5"/>
      <c r="X2393" s="5"/>
      <c r="Y2393" s="5"/>
      <c r="Z2393" s="5"/>
    </row>
    <row r="2394" spans="1:26" ht="15.6" x14ac:dyDescent="0.3">
      <c r="A2394" s="18" t="s">
        <v>3</v>
      </c>
      <c r="B2394" s="25" t="s">
        <v>2389</v>
      </c>
      <c r="C2394" s="2" t="str">
        <f ca="1">IFERROR(__xludf.DUMMYFUNCTION("GOOGLETRANSLATE(B2394, ""bn"", ""en"")"),"O Allah, I know that You are the best guardian of the Qur'an. And You will soon send Your severe punishment on the wrongdoers.")</f>
        <v>O Allah, I know that You are the best guardian of the Qur'an. And You will soon send Your severe punishment on the wrongdoers.</v>
      </c>
      <c r="D2394" s="5"/>
      <c r="E2394" s="5"/>
      <c r="F2394" s="5"/>
      <c r="G2394" s="5"/>
      <c r="H2394" s="5"/>
      <c r="I2394" s="5"/>
      <c r="J2394" s="5"/>
      <c r="K2394" s="5"/>
      <c r="L2394" s="5"/>
      <c r="M2394" s="5"/>
      <c r="N2394" s="5"/>
      <c r="O2394" s="5"/>
      <c r="P2394" s="5"/>
      <c r="Q2394" s="5"/>
      <c r="R2394" s="5"/>
      <c r="S2394" s="5"/>
      <c r="T2394" s="5"/>
      <c r="U2394" s="5"/>
      <c r="V2394" s="5"/>
      <c r="W2394" s="5"/>
      <c r="X2394" s="5"/>
      <c r="Y2394" s="5"/>
      <c r="Z2394" s="5"/>
    </row>
    <row r="2395" spans="1:26" ht="15.6" x14ac:dyDescent="0.3">
      <c r="A2395" s="18" t="s">
        <v>8</v>
      </c>
      <c r="B2395" s="25" t="s">
        <v>2390</v>
      </c>
      <c r="C2395" s="2" t="str">
        <f ca="1">IFERROR(__xludf.DUMMYFUNCTION("GOOGLETRANSLATE(B2395, ""bn"", ""en"")"),"Islamic fundamentalists again attacked Nandigram upazila of Bogra district on January 12, ransacked some houses, attacked some houses, uprooted some tube wells and took them away.")</f>
        <v>Islamic fundamentalists again attacked Nandigram upazila of Bogra district on January 12, ransacked some houses, attacked some houses, uprooted some tube wells and took them away.</v>
      </c>
      <c r="D2395" s="5"/>
      <c r="E2395" s="5"/>
      <c r="F2395" s="5"/>
      <c r="G2395" s="5"/>
      <c r="H2395" s="5"/>
      <c r="I2395" s="5"/>
      <c r="J2395" s="5"/>
      <c r="K2395" s="5"/>
      <c r="L2395" s="5"/>
      <c r="M2395" s="5"/>
      <c r="N2395" s="5"/>
      <c r="O2395" s="5"/>
      <c r="P2395" s="5"/>
      <c r="Q2395" s="5"/>
      <c r="R2395" s="5"/>
      <c r="S2395" s="5"/>
      <c r="T2395" s="5"/>
      <c r="U2395" s="5"/>
      <c r="V2395" s="5"/>
      <c r="W2395" s="5"/>
      <c r="X2395" s="5"/>
      <c r="Y2395" s="5"/>
      <c r="Z2395" s="5"/>
    </row>
    <row r="2396" spans="1:26" ht="15.6" x14ac:dyDescent="0.3">
      <c r="A2396" s="18" t="s">
        <v>5</v>
      </c>
      <c r="B2396" s="24" t="s">
        <v>2391</v>
      </c>
      <c r="C2396" s="2" t="str">
        <f ca="1">IFERROR(__xludf.DUMMYFUNCTION("GOOGLETRANSLATE(B2396, ""bn"", ""en"")"),"On April 14, 2000, 10 people were killed and hundreds injured in a bomb attack at a New Year's celebration in Ramana Botamule.")</f>
        <v>On April 14, 2000, 10 people were killed and hundreds injured in a bomb attack at a New Year's celebration in Ramana Botamule.</v>
      </c>
      <c r="D2396" s="5"/>
      <c r="E2396" s="5"/>
      <c r="F2396" s="5"/>
      <c r="G2396" s="5"/>
      <c r="H2396" s="5"/>
      <c r="I2396" s="5"/>
      <c r="J2396" s="5"/>
      <c r="K2396" s="5"/>
      <c r="L2396" s="5"/>
      <c r="M2396" s="5"/>
      <c r="N2396" s="5"/>
      <c r="O2396" s="5"/>
      <c r="P2396" s="5"/>
      <c r="Q2396" s="5"/>
      <c r="R2396" s="5"/>
      <c r="S2396" s="5"/>
      <c r="T2396" s="5"/>
      <c r="U2396" s="5"/>
      <c r="V2396" s="5"/>
      <c r="W2396" s="5"/>
      <c r="X2396" s="5"/>
      <c r="Y2396" s="5"/>
      <c r="Z2396" s="5"/>
    </row>
    <row r="2397" spans="1:26" ht="15.6" x14ac:dyDescent="0.3">
      <c r="A2397" s="18" t="s">
        <v>8</v>
      </c>
      <c r="B2397" s="25" t="s">
        <v>2392</v>
      </c>
      <c r="C2397" s="2" t="str">
        <f ca="1">IFERROR(__xludf.DUMMYFUNCTION("GOOGLETRANSLATE(B2397, ""bn"", ""en"")"),"The Ramkot fort along with the house considered by Hindus to be the birthplace of Rama was demolished. A mosque with three domes was built in its place.")</f>
        <v>The Ramkot fort along with the house considered by Hindus to be the birthplace of Rama was demolished. A mosque with three domes was built in its place.</v>
      </c>
      <c r="D2397" s="5"/>
      <c r="E2397" s="5"/>
      <c r="F2397" s="5"/>
      <c r="G2397" s="5"/>
      <c r="H2397" s="5"/>
      <c r="I2397" s="5"/>
      <c r="J2397" s="5"/>
      <c r="K2397" s="5"/>
      <c r="L2397" s="5"/>
      <c r="M2397" s="5"/>
      <c r="N2397" s="5"/>
      <c r="O2397" s="5"/>
      <c r="P2397" s="5"/>
      <c r="Q2397" s="5"/>
      <c r="R2397" s="5"/>
      <c r="S2397" s="5"/>
      <c r="T2397" s="5"/>
      <c r="U2397" s="5"/>
      <c r="V2397" s="5"/>
      <c r="W2397" s="5"/>
      <c r="X2397" s="5"/>
      <c r="Y2397" s="5"/>
      <c r="Z2397" s="5"/>
    </row>
    <row r="2398" spans="1:26" ht="15.6" x14ac:dyDescent="0.3">
      <c r="A2398" s="18" t="s">
        <v>23</v>
      </c>
      <c r="B2398" s="25" t="s">
        <v>2393</v>
      </c>
      <c r="C2398" s="2" t="str">
        <f ca="1">IFERROR(__xludf.DUMMYFUNCTION("GOOGLETRANSLATE(B2398, ""bn"", ""en"")"),"It remains to be seen how long our campus will be favored by the amount of Islamophobia that has infiltrated all around")</f>
        <v>It remains to be seen how long our campus will be favored by the amount of Islamophobia that has infiltrated all around</v>
      </c>
      <c r="D2398" s="5"/>
      <c r="E2398" s="5"/>
      <c r="F2398" s="5"/>
      <c r="G2398" s="5"/>
      <c r="H2398" s="5"/>
      <c r="I2398" s="5"/>
      <c r="J2398" s="5"/>
      <c r="K2398" s="5"/>
      <c r="L2398" s="5"/>
      <c r="M2398" s="5"/>
      <c r="N2398" s="5"/>
      <c r="O2398" s="5"/>
      <c r="P2398" s="5"/>
      <c r="Q2398" s="5"/>
      <c r="R2398" s="5"/>
      <c r="S2398" s="5"/>
      <c r="T2398" s="5"/>
      <c r="U2398" s="5"/>
      <c r="V2398" s="5"/>
      <c r="W2398" s="5"/>
      <c r="X2398" s="5"/>
      <c r="Y2398" s="5"/>
      <c r="Z2398" s="5"/>
    </row>
    <row r="2399" spans="1:26" ht="15.6" x14ac:dyDescent="0.3">
      <c r="A2399" s="19" t="s">
        <v>5</v>
      </c>
      <c r="B2399" s="26" t="s">
        <v>2394</v>
      </c>
      <c r="C2399" s="2" t="str">
        <f ca="1">IFERROR(__xludf.DUMMYFUNCTION("GOOGLETRANSLATE(B2399, ""bn"", ""en"")"),"The history of Comilla in Bangladesh is painful for Muslims. Forty-one years ago today, the local ruler of the then dictator carried out a hellish massacre of the Muslim community.")</f>
        <v>The history of Comilla in Bangladesh is painful for Muslims. Forty-one years ago today, the local ruler of the then dictator carried out a hellish massacre of the Muslim community.</v>
      </c>
      <c r="D2399" s="7"/>
      <c r="E2399" s="7"/>
      <c r="F2399" s="7"/>
      <c r="G2399" s="7"/>
      <c r="H2399" s="7"/>
      <c r="I2399" s="7"/>
      <c r="J2399" s="7"/>
      <c r="K2399" s="7"/>
      <c r="L2399" s="7"/>
      <c r="M2399" s="7"/>
      <c r="N2399" s="7"/>
      <c r="O2399" s="5"/>
      <c r="P2399" s="5"/>
      <c r="Q2399" s="5"/>
      <c r="R2399" s="5"/>
      <c r="S2399" s="5"/>
      <c r="T2399" s="5"/>
      <c r="U2399" s="5"/>
      <c r="V2399" s="5"/>
      <c r="W2399" s="5"/>
      <c r="X2399" s="5"/>
      <c r="Y2399" s="5"/>
      <c r="Z2399" s="5"/>
    </row>
    <row r="2400" spans="1:26" ht="15.6" x14ac:dyDescent="0.3">
      <c r="A2400" s="18" t="s">
        <v>5</v>
      </c>
      <c r="B2400" s="24" t="s">
        <v>2395</v>
      </c>
      <c r="C2400" s="2" t="str">
        <f ca="1">IFERROR(__xludf.DUMMYFUNCTION("GOOGLETRANSLATE(B2400, ""bn"", ""en"")"),"Communal conflict between Hindus and Muslims erupted into clashes in Jhalkathi. At least 30 people were killed in the clashes and thousands were left homeless. Widespread destruction ensued.")</f>
        <v>Communal conflict between Hindus and Muslims erupted into clashes in Jhalkathi. At least 30 people were killed in the clashes and thousands were left homeless. Widespread destruction ensued.</v>
      </c>
      <c r="D2400" s="5"/>
      <c r="E2400" s="5"/>
      <c r="F2400" s="5"/>
      <c r="G2400" s="5"/>
      <c r="H2400" s="5"/>
      <c r="I2400" s="5"/>
      <c r="J2400" s="5"/>
      <c r="K2400" s="5"/>
      <c r="L2400" s="5"/>
      <c r="M2400" s="5"/>
      <c r="N2400" s="5"/>
      <c r="O2400" s="5"/>
      <c r="P2400" s="5"/>
      <c r="Q2400" s="5"/>
      <c r="R2400" s="5"/>
      <c r="S2400" s="5"/>
      <c r="T2400" s="5"/>
      <c r="U2400" s="5"/>
      <c r="V2400" s="5"/>
      <c r="W2400" s="5"/>
      <c r="X2400" s="5"/>
      <c r="Y2400" s="5"/>
      <c r="Z2400" s="5"/>
    </row>
    <row r="2401" spans="1:26" ht="15.6" x14ac:dyDescent="0.3">
      <c r="A2401" s="18" t="s">
        <v>3</v>
      </c>
      <c r="B2401" s="25" t="s">
        <v>2396</v>
      </c>
      <c r="C2401" s="2" t="str">
        <f ca="1">IFERROR(__xludf.DUMMYFUNCTION("GOOGLETRANSLATE(B2401, ""bn"", ""en"")"),"We ourselves read the Qur'an, read the Hadith, read various Islamic books, and follow the right path through scrutiny. May Allah give us the right understanding.")</f>
        <v>We ourselves read the Qur'an, read the Hadith, read various Islamic books, and follow the right path through scrutiny. May Allah give us the right understanding.</v>
      </c>
      <c r="D2401" s="5"/>
      <c r="E2401" s="5"/>
      <c r="F2401" s="5"/>
      <c r="G2401" s="5"/>
      <c r="H2401" s="5"/>
      <c r="I2401" s="5"/>
      <c r="J2401" s="5"/>
      <c r="K2401" s="5"/>
      <c r="L2401" s="5"/>
      <c r="M2401" s="5"/>
      <c r="N2401" s="5"/>
      <c r="O2401" s="5"/>
      <c r="P2401" s="5"/>
      <c r="Q2401" s="5"/>
      <c r="R2401" s="5"/>
      <c r="S2401" s="5"/>
      <c r="T2401" s="5"/>
      <c r="U2401" s="5"/>
      <c r="V2401" s="5"/>
      <c r="W2401" s="5"/>
      <c r="X2401" s="5"/>
      <c r="Y2401" s="5"/>
      <c r="Z2401" s="5"/>
    </row>
    <row r="2402" spans="1:26" ht="15.6" x14ac:dyDescent="0.3">
      <c r="A2402" s="18" t="s">
        <v>3</v>
      </c>
      <c r="B2402" s="24" t="s">
        <v>2397</v>
      </c>
      <c r="C2402" s="2" t="str">
        <f ca="1">IFERROR(__xludf.DUMMYFUNCTION("GOOGLETRANSLATE(B2402, ""bn"", ""en"")"),"Be it the ringing of temple bells or the calling of Azaan, the main purpose of each is to remember God.")</f>
        <v>Be it the ringing of temple bells or the calling of Azaan, the main purpose of each is to remember God.</v>
      </c>
      <c r="D2402" s="5"/>
      <c r="E2402" s="5"/>
      <c r="F2402" s="5"/>
      <c r="G2402" s="5"/>
      <c r="H2402" s="5"/>
      <c r="I2402" s="5"/>
      <c r="J2402" s="5"/>
      <c r="K2402" s="5"/>
      <c r="L2402" s="5"/>
      <c r="M2402" s="5"/>
      <c r="N2402" s="5"/>
      <c r="O2402" s="5"/>
      <c r="P2402" s="5"/>
      <c r="Q2402" s="5"/>
      <c r="R2402" s="5"/>
      <c r="S2402" s="5"/>
      <c r="T2402" s="5"/>
      <c r="U2402" s="5"/>
      <c r="V2402" s="5"/>
      <c r="W2402" s="5"/>
      <c r="X2402" s="5"/>
      <c r="Y2402" s="5"/>
      <c r="Z2402" s="5"/>
    </row>
    <row r="2403" spans="1:26" ht="15.6" x14ac:dyDescent="0.3">
      <c r="A2403" s="19" t="s">
        <v>23</v>
      </c>
      <c r="B2403" s="26" t="s">
        <v>2398</v>
      </c>
      <c r="C2403" s="2" t="str">
        <f ca="1">IFERROR(__xludf.DUMMYFUNCTION("GOOGLETRANSLATE(B2403, ""bn"", ""en"")"),"The Muslim League cabinet failed to quell the riots, demanding immediate dismissal and central intervention in Noakhali. Lt General Butcher said it is difficult to regain the confidence of Hindus affected by the riots.")</f>
        <v>The Muslim League cabinet failed to quell the riots, demanding immediate dismissal and central intervention in Noakhali. Lt General Butcher said it is difficult to regain the confidence of Hindus affected by the riots.</v>
      </c>
      <c r="D2403" s="7"/>
      <c r="E2403" s="7"/>
      <c r="F2403" s="7"/>
      <c r="G2403" s="7"/>
      <c r="H2403" s="7"/>
      <c r="I2403" s="7"/>
      <c r="J2403" s="7"/>
      <c r="K2403" s="7"/>
      <c r="L2403" s="7"/>
      <c r="M2403" s="7"/>
      <c r="N2403" s="7"/>
      <c r="O2403" s="7"/>
      <c r="P2403" s="5"/>
      <c r="Q2403" s="5"/>
      <c r="R2403" s="5"/>
      <c r="S2403" s="5"/>
      <c r="T2403" s="5"/>
      <c r="U2403" s="5"/>
      <c r="V2403" s="5"/>
      <c r="W2403" s="5"/>
      <c r="X2403" s="5"/>
      <c r="Y2403" s="5"/>
      <c r="Z2403" s="5"/>
    </row>
    <row r="2404" spans="1:26" ht="15.6" x14ac:dyDescent="0.3">
      <c r="A2404" s="18" t="s">
        <v>8</v>
      </c>
      <c r="B2404" s="24" t="s">
        <v>2399</v>
      </c>
      <c r="C2404" s="2" t="str">
        <f ca="1">IFERROR(__xludf.DUMMYFUNCTION("GOOGLETRANSLATE(B2404, ""bn"", ""en"")"),"On February 8, 2023, miscreants cut off the head of an idol in a small Kalimandir in Jamalpur's Islampur.")</f>
        <v>On February 8, 2023, miscreants cut off the head of an idol in a small Kalimandir in Jamalpur's Islampur.</v>
      </c>
      <c r="D2404" s="5"/>
      <c r="E2404" s="5"/>
      <c r="F2404" s="5"/>
      <c r="G2404" s="5"/>
      <c r="H2404" s="5"/>
      <c r="I2404" s="5"/>
      <c r="J2404" s="5"/>
      <c r="K2404" s="5"/>
      <c r="L2404" s="5"/>
      <c r="M2404" s="5"/>
      <c r="N2404" s="5"/>
      <c r="O2404" s="5"/>
      <c r="P2404" s="5"/>
      <c r="Q2404" s="5"/>
      <c r="R2404" s="5"/>
      <c r="S2404" s="5"/>
      <c r="T2404" s="5"/>
      <c r="U2404" s="5"/>
      <c r="V2404" s="5"/>
      <c r="W2404" s="5"/>
      <c r="X2404" s="5"/>
      <c r="Y2404" s="5"/>
      <c r="Z2404" s="5"/>
    </row>
    <row r="2405" spans="1:26" ht="15.6" x14ac:dyDescent="0.3">
      <c r="A2405" s="18" t="s">
        <v>8</v>
      </c>
      <c r="B2405" s="25" t="s">
        <v>2400</v>
      </c>
      <c r="C2405" s="2" t="str">
        <f ca="1">IFERROR(__xludf.DUMMYFUNCTION("GOOGLETRANSLATE(B2405, ""bn"", ""en"")"),"The Buddhists were so persecuted and oppressed by the Hindus that the Bakhtiyar Khilji's victory in Bengal was celebrated as a gift from God.")</f>
        <v>The Buddhists were so persecuted and oppressed by the Hindus that the Bakhtiyar Khilji's victory in Bengal was celebrated as a gift from God.</v>
      </c>
      <c r="D2405" s="2"/>
      <c r="E2405" s="2"/>
      <c r="F2405" s="2"/>
      <c r="G2405" s="2"/>
      <c r="H2405" s="3"/>
      <c r="I2405" s="3"/>
      <c r="J2405" s="3"/>
      <c r="K2405" s="3"/>
      <c r="L2405" s="3"/>
      <c r="M2405" s="3"/>
      <c r="N2405" s="3"/>
      <c r="O2405" s="3"/>
      <c r="P2405" s="3"/>
      <c r="Q2405" s="3"/>
      <c r="R2405" s="3"/>
      <c r="S2405" s="3"/>
      <c r="T2405" s="3"/>
      <c r="U2405" s="3"/>
      <c r="V2405" s="3"/>
      <c r="W2405" s="3"/>
      <c r="X2405" s="3"/>
      <c r="Y2405" s="3"/>
      <c r="Z2405" s="3"/>
    </row>
    <row r="2406" spans="1:26" ht="15.6" x14ac:dyDescent="0.3">
      <c r="A2406" s="18" t="s">
        <v>3</v>
      </c>
      <c r="B2406" s="25" t="s">
        <v>2401</v>
      </c>
      <c r="C2406" s="2" t="str">
        <f ca="1">IFERROR(__xludf.DUMMYFUNCTION("GOOGLETRANSLATE(B2406, ""bn"", ""en"")"),"According to the teachings of Islam, a Muslim not only fulfills his duty to Allah, but also helps his society to maintain justice and peace.")</f>
        <v>According to the teachings of Islam, a Muslim not only fulfills his duty to Allah, but also helps his society to maintain justice and peace.</v>
      </c>
      <c r="D2406" s="5"/>
      <c r="E2406" s="5"/>
      <c r="F2406" s="5"/>
      <c r="G2406" s="5"/>
      <c r="H2406" s="5"/>
      <c r="I2406" s="5"/>
      <c r="J2406" s="5"/>
      <c r="K2406" s="5"/>
      <c r="L2406" s="5"/>
      <c r="M2406" s="5"/>
      <c r="N2406" s="5"/>
      <c r="O2406" s="5"/>
      <c r="P2406" s="5"/>
      <c r="Q2406" s="5"/>
      <c r="R2406" s="5"/>
      <c r="S2406" s="5"/>
      <c r="T2406" s="5"/>
      <c r="U2406" s="5"/>
      <c r="V2406" s="5"/>
      <c r="W2406" s="5"/>
      <c r="X2406" s="5"/>
      <c r="Y2406" s="5"/>
      <c r="Z2406" s="5"/>
    </row>
    <row r="2407" spans="1:26" ht="15.6" x14ac:dyDescent="0.3">
      <c r="A2407" s="18" t="s">
        <v>5</v>
      </c>
      <c r="B2407" s="24" t="s">
        <v>2402</v>
      </c>
      <c r="C2407" s="2" t="str">
        <f ca="1">IFERROR(__xludf.DUMMYFUNCTION("GOOGLETRANSLATE(B2407, ""bn"", ""en"")"),"In Khulna Hindu-Muslim riots, thousands of people from both communities clashed. Both temples and mosques were damaged during the clashes, which left 35 people dead and scores injured. Besides, many shops, houses and vehicles were burnt down, seriously de"&amp;"stroying the peace and stability of the area.")</f>
        <v>In Khulna Hindu-Muslim riots, thousands of people from both communities clashed. Both temples and mosques were damaged during the clashes, which left 35 people dead and scores injured. Besides, many shops, houses and vehicles were burnt down, seriously destroying the peace and stability of the area.</v>
      </c>
      <c r="D2407" s="5"/>
      <c r="E2407" s="5"/>
      <c r="F2407" s="5"/>
      <c r="G2407" s="5"/>
      <c r="H2407" s="5"/>
      <c r="I2407" s="5"/>
      <c r="J2407" s="5"/>
      <c r="K2407" s="5"/>
      <c r="L2407" s="5"/>
      <c r="M2407" s="5"/>
      <c r="N2407" s="5"/>
      <c r="O2407" s="5"/>
      <c r="P2407" s="5"/>
      <c r="Q2407" s="5"/>
      <c r="R2407" s="5"/>
      <c r="S2407" s="5"/>
      <c r="T2407" s="5"/>
      <c r="U2407" s="5"/>
      <c r="V2407" s="5"/>
      <c r="W2407" s="5"/>
      <c r="X2407" s="5"/>
      <c r="Y2407" s="5"/>
      <c r="Z2407" s="5"/>
    </row>
    <row r="2408" spans="1:26" ht="15.6" x14ac:dyDescent="0.3">
      <c r="A2408" s="18" t="s">
        <v>3</v>
      </c>
      <c r="B2408" s="25" t="s">
        <v>2403</v>
      </c>
      <c r="C2408" s="2" t="str">
        <f ca="1">IFERROR(__xludf.DUMMYFUNCTION("GOOGLETRANSLATE(B2408, ""bn"", ""en"")"),"Vedas are the root of all religions..so your main book is Koran and Sanatani's main book Veda will analyze it and see which one is true.")</f>
        <v>Vedas are the root of all religions..so your main book is Koran and Sanatani's main book Veda will analyze it and see which one is true.</v>
      </c>
      <c r="D2408" s="5"/>
      <c r="E2408" s="5"/>
      <c r="F2408" s="5"/>
      <c r="G2408" s="5"/>
      <c r="H2408" s="5"/>
      <c r="I2408" s="5"/>
      <c r="J2408" s="5"/>
      <c r="K2408" s="5"/>
      <c r="L2408" s="5"/>
      <c r="M2408" s="5"/>
      <c r="N2408" s="5"/>
      <c r="O2408" s="5"/>
      <c r="P2408" s="5"/>
      <c r="Q2408" s="5"/>
      <c r="R2408" s="5"/>
      <c r="S2408" s="5"/>
      <c r="T2408" s="5"/>
      <c r="U2408" s="5"/>
      <c r="V2408" s="5"/>
      <c r="W2408" s="5"/>
      <c r="X2408" s="5"/>
      <c r="Y2408" s="5"/>
      <c r="Z2408" s="5"/>
    </row>
    <row r="2409" spans="1:26" ht="15.6" x14ac:dyDescent="0.3">
      <c r="A2409" s="18" t="s">
        <v>23</v>
      </c>
      <c r="B2409" s="25" t="s">
        <v>2404</v>
      </c>
      <c r="C2409" s="2" t="str">
        <f ca="1">IFERROR(__xludf.DUMMYFUNCTION("GOOGLETRANSLATE(B2409, ""bn"", ""en"")"),"A caste that learns from its parents that Hindus must say Malaun, a caste that forbids a Hindu to greet even his closest Hindu friend on an occasion. What is the fear of that nation opposing you today?")</f>
        <v>A caste that learns from its parents that Hindus must say Malaun, a caste that forbids a Hindu to greet even his closest Hindu friend on an occasion. What is the fear of that nation opposing you today?</v>
      </c>
      <c r="D2409" s="6"/>
      <c r="E2409" s="6"/>
      <c r="F2409" s="6"/>
      <c r="G2409" s="6"/>
      <c r="H2409" s="5"/>
      <c r="I2409" s="5"/>
      <c r="J2409" s="5"/>
      <c r="K2409" s="5"/>
      <c r="L2409" s="5"/>
      <c r="M2409" s="5"/>
      <c r="N2409" s="5"/>
      <c r="O2409" s="5"/>
      <c r="P2409" s="5"/>
      <c r="Q2409" s="5"/>
      <c r="R2409" s="5"/>
      <c r="S2409" s="5"/>
      <c r="T2409" s="5"/>
      <c r="U2409" s="5"/>
      <c r="V2409" s="5"/>
      <c r="W2409" s="5"/>
      <c r="X2409" s="5"/>
      <c r="Y2409" s="5"/>
      <c r="Z2409" s="5"/>
    </row>
    <row r="2410" spans="1:26" ht="15.6" x14ac:dyDescent="0.3">
      <c r="A2410" s="19" t="s">
        <v>5</v>
      </c>
      <c r="B2410" s="26" t="s">
        <v>2405</v>
      </c>
      <c r="C2410" s="2" t="str">
        <f ca="1">IFERROR(__xludf.DUMMYFUNCTION("GOOGLETRANSLATE(B2410, ""bn"", ""en"")"),"Tensions erupted in the early hours of 16 August when League volunteers forced Hindu traders to close their shops in North Calcutta and Hindus retaliated by blocking League processions. According to official estimates, 4,000 people were killed and 1,00,00"&amp;"0 injured in the riots.")</f>
        <v>Tensions erupted in the early hours of 16 August when League volunteers forced Hindu traders to close their shops in North Calcutta and Hindus retaliated by blocking League processions. According to official estimates, 4,000 people were killed and 1,00,000 injured in the riots.</v>
      </c>
      <c r="D2410" s="7"/>
      <c r="E2410" s="7"/>
      <c r="F2410" s="7"/>
      <c r="G2410" s="5"/>
      <c r="H2410" s="5"/>
      <c r="I2410" s="5"/>
      <c r="J2410" s="5"/>
      <c r="K2410" s="5"/>
      <c r="L2410" s="5"/>
      <c r="M2410" s="5"/>
      <c r="N2410" s="5"/>
      <c r="O2410" s="5"/>
      <c r="P2410" s="5"/>
      <c r="Q2410" s="5"/>
      <c r="R2410" s="5"/>
      <c r="S2410" s="5"/>
      <c r="T2410" s="5"/>
      <c r="U2410" s="5"/>
      <c r="V2410" s="5"/>
      <c r="W2410" s="5"/>
      <c r="X2410" s="5"/>
      <c r="Y2410" s="5"/>
      <c r="Z2410" s="5"/>
    </row>
    <row r="2411" spans="1:26" ht="15.6" x14ac:dyDescent="0.3">
      <c r="A2411" s="18" t="s">
        <v>5</v>
      </c>
      <c r="B2411" s="24" t="s">
        <v>2406</v>
      </c>
      <c r="C2411" s="2" t="str">
        <f ca="1">IFERROR(__xludf.DUMMYFUNCTION("GOOGLETRANSLATE(B2411, ""bn"", ""en"")"),"In April 2019, a young man was killed while trying to protect his sister from apostasy, killing 14 others.")</f>
        <v>In April 2019, a young man was killed while trying to protect his sister from apostasy, killing 14 others.</v>
      </c>
      <c r="D2411" s="5"/>
      <c r="E2411" s="5"/>
      <c r="F2411" s="5"/>
      <c r="G2411" s="5"/>
      <c r="H2411" s="5"/>
      <c r="I2411" s="5"/>
      <c r="J2411" s="5"/>
      <c r="K2411" s="5"/>
      <c r="L2411" s="5"/>
      <c r="M2411" s="5"/>
      <c r="N2411" s="5"/>
      <c r="O2411" s="5"/>
      <c r="P2411" s="5"/>
      <c r="Q2411" s="5"/>
      <c r="R2411" s="5"/>
      <c r="S2411" s="5"/>
      <c r="T2411" s="5"/>
      <c r="U2411" s="5"/>
      <c r="V2411" s="5"/>
      <c r="W2411" s="5"/>
      <c r="X2411" s="5"/>
      <c r="Y2411" s="5"/>
      <c r="Z2411" s="5"/>
    </row>
    <row r="2412" spans="1:26" ht="15.6" x14ac:dyDescent="0.3">
      <c r="A2412" s="18" t="s">
        <v>23</v>
      </c>
      <c r="B2412" s="25" t="s">
        <v>2407</v>
      </c>
      <c r="C2412" s="2" t="str">
        <f ca="1">IFERROR(__xludf.DUMMYFUNCTION("GOOGLETRANSLATE(B2412, ""bn"", ""en"")"),"Woe to their birth and woe to their names, stigma for Muslims!")</f>
        <v>Woe to their birth and woe to their names, stigma for Muslims!</v>
      </c>
      <c r="D2412" s="2"/>
      <c r="E2412" s="2"/>
      <c r="F2412" s="2"/>
      <c r="G2412" s="2"/>
      <c r="H2412" s="5"/>
      <c r="I2412" s="5"/>
      <c r="J2412" s="5"/>
      <c r="K2412" s="5"/>
      <c r="L2412" s="5"/>
      <c r="M2412" s="5"/>
      <c r="N2412" s="5"/>
      <c r="O2412" s="5"/>
      <c r="P2412" s="5"/>
      <c r="Q2412" s="5"/>
      <c r="R2412" s="5"/>
      <c r="S2412" s="5"/>
      <c r="T2412" s="5"/>
      <c r="U2412" s="5"/>
      <c r="V2412" s="5"/>
      <c r="W2412" s="5"/>
      <c r="X2412" s="5"/>
      <c r="Y2412" s="5"/>
      <c r="Z2412" s="5"/>
    </row>
    <row r="2413" spans="1:26" ht="15.6" x14ac:dyDescent="0.3">
      <c r="A2413" s="19" t="s">
        <v>3</v>
      </c>
      <c r="B2413" s="26" t="s">
        <v>2408</v>
      </c>
      <c r="C2413" s="2" t="str">
        <f ca="1">IFERROR(__xludf.DUMMYFUNCTION("GOOGLETRANSLATE(B2413, ""bn"", ""en"")"),"Appeal to traditionalists, stop supporting doctrine against idol worship to respect your religion.")</f>
        <v>Appeal to traditionalists, stop supporting doctrine against idol worship to respect your religion.</v>
      </c>
      <c r="D2413" s="7"/>
      <c r="E2413" s="7"/>
      <c r="F2413" s="7"/>
      <c r="G2413" s="5"/>
      <c r="H2413" s="5"/>
      <c r="I2413" s="5"/>
      <c r="J2413" s="5"/>
      <c r="K2413" s="5"/>
      <c r="L2413" s="5"/>
      <c r="M2413" s="5"/>
      <c r="N2413" s="5"/>
      <c r="O2413" s="5"/>
      <c r="P2413" s="5"/>
      <c r="Q2413" s="5"/>
      <c r="R2413" s="5"/>
      <c r="S2413" s="5"/>
      <c r="T2413" s="5"/>
      <c r="U2413" s="5"/>
      <c r="V2413" s="5"/>
      <c r="W2413" s="5"/>
      <c r="X2413" s="5"/>
      <c r="Y2413" s="5"/>
      <c r="Z2413" s="5"/>
    </row>
    <row r="2414" spans="1:26" ht="15.6" x14ac:dyDescent="0.3">
      <c r="A2414" s="18" t="s">
        <v>5</v>
      </c>
      <c r="B2414" s="24" t="s">
        <v>2409</v>
      </c>
      <c r="C2414" s="2" t="str">
        <f ca="1">IFERROR(__xludf.DUMMYFUNCTION("GOOGLETRANSLATE(B2414, ""bn"", ""en"")"),"In June 2015, a religious group attacked religious book distributors, killing 18 people.")</f>
        <v>In June 2015, a religious group attacked religious book distributors, killing 18 people.</v>
      </c>
      <c r="D2414" s="5"/>
      <c r="E2414" s="5"/>
      <c r="F2414" s="5"/>
      <c r="G2414" s="5"/>
      <c r="H2414" s="5"/>
      <c r="I2414" s="5"/>
      <c r="J2414" s="5"/>
      <c r="K2414" s="5"/>
      <c r="L2414" s="5"/>
      <c r="M2414" s="5"/>
      <c r="N2414" s="5"/>
      <c r="O2414" s="5"/>
      <c r="P2414" s="5"/>
      <c r="Q2414" s="5"/>
      <c r="R2414" s="5"/>
      <c r="S2414" s="5"/>
      <c r="T2414" s="5"/>
      <c r="U2414" s="5"/>
      <c r="V2414" s="5"/>
      <c r="W2414" s="5"/>
      <c r="X2414" s="5"/>
      <c r="Y2414" s="5"/>
      <c r="Z2414" s="5"/>
    </row>
    <row r="2415" spans="1:26" ht="15.6" x14ac:dyDescent="0.3">
      <c r="A2415" s="18" t="s">
        <v>23</v>
      </c>
      <c r="B2415" s="24" t="s">
        <v>2410</v>
      </c>
      <c r="C2415" s="2" t="str">
        <f ca="1">IFERROR(__xludf.DUMMYFUNCTION("GOOGLETRANSLATE(B2415, ""bn"", ""en"")"),"Some sections of the Hindu community spread religious extremism and created religious hatred in the society and created unrest.")</f>
        <v>Some sections of the Hindu community spread religious extremism and created religious hatred in the society and created unrest.</v>
      </c>
      <c r="D2415" s="5"/>
      <c r="E2415" s="5"/>
      <c r="F2415" s="5"/>
      <c r="G2415" s="5"/>
      <c r="H2415" s="5"/>
      <c r="I2415" s="5"/>
      <c r="J2415" s="5"/>
      <c r="K2415" s="5"/>
      <c r="L2415" s="5"/>
      <c r="M2415" s="5"/>
      <c r="N2415" s="5"/>
      <c r="O2415" s="5"/>
      <c r="P2415" s="5"/>
      <c r="Q2415" s="5"/>
      <c r="R2415" s="5"/>
      <c r="S2415" s="5"/>
      <c r="T2415" s="5"/>
      <c r="U2415" s="5"/>
      <c r="V2415" s="5"/>
      <c r="W2415" s="5"/>
      <c r="X2415" s="5"/>
      <c r="Y2415" s="5"/>
      <c r="Z2415" s="5"/>
    </row>
    <row r="2416" spans="1:26" ht="15.6" x14ac:dyDescent="0.3">
      <c r="A2416" s="18" t="s">
        <v>5</v>
      </c>
      <c r="B2416" s="24" t="s">
        <v>2411</v>
      </c>
      <c r="C2416" s="2" t="str">
        <f ca="1">IFERROR(__xludf.DUMMYFUNCTION("GOOGLETRANSLATE(B2416, ""bn"", ""en"")"),"In June 2018, 27 people were killed in clashes between a group of religious groups; Many people are homeless.")</f>
        <v>In June 2018, 27 people were killed in clashes between a group of religious groups; Many people are homeless.</v>
      </c>
      <c r="D2416" s="5"/>
      <c r="E2416" s="5"/>
      <c r="F2416" s="5"/>
      <c r="G2416" s="5"/>
      <c r="H2416" s="5"/>
      <c r="I2416" s="5"/>
      <c r="J2416" s="5"/>
      <c r="K2416" s="5"/>
      <c r="L2416" s="5"/>
      <c r="M2416" s="5"/>
      <c r="N2416" s="5"/>
      <c r="O2416" s="5"/>
      <c r="P2416" s="5"/>
      <c r="Q2416" s="5"/>
      <c r="R2416" s="5"/>
      <c r="S2416" s="5"/>
      <c r="T2416" s="5"/>
      <c r="U2416" s="5"/>
      <c r="V2416" s="5"/>
      <c r="W2416" s="5"/>
      <c r="X2416" s="5"/>
      <c r="Y2416" s="5"/>
      <c r="Z2416" s="5"/>
    </row>
    <row r="2417" spans="1:26" ht="15.6" x14ac:dyDescent="0.3">
      <c r="A2417" s="18" t="s">
        <v>5</v>
      </c>
      <c r="B2417" s="24" t="s">
        <v>2412</v>
      </c>
      <c r="C2417" s="2" t="str">
        <f ca="1">IFERROR(__xludf.DUMMYFUNCTION("GOOGLETRANSLATE(B2417, ""bn"", ""en"")"),"In October 2017, a gas cylinder exploded in a mosque, killing 38 people and seriously injuring many.")</f>
        <v>In October 2017, a gas cylinder exploded in a mosque, killing 38 people and seriously injuring many.</v>
      </c>
      <c r="D2417" s="5"/>
      <c r="E2417" s="5"/>
      <c r="F2417" s="5"/>
      <c r="G2417" s="5"/>
      <c r="H2417" s="5"/>
      <c r="I2417" s="5"/>
      <c r="J2417" s="5"/>
      <c r="K2417" s="5"/>
      <c r="L2417" s="5"/>
      <c r="M2417" s="5"/>
      <c r="N2417" s="5"/>
      <c r="O2417" s="5"/>
      <c r="P2417" s="5"/>
      <c r="Q2417" s="5"/>
      <c r="R2417" s="5"/>
      <c r="S2417" s="5"/>
      <c r="T2417" s="5"/>
      <c r="U2417" s="5"/>
      <c r="V2417" s="5"/>
      <c r="W2417" s="5"/>
      <c r="X2417" s="5"/>
      <c r="Y2417" s="5"/>
      <c r="Z2417" s="5"/>
    </row>
    <row r="2418" spans="1:26" ht="15.6" x14ac:dyDescent="0.3">
      <c r="A2418" s="19" t="s">
        <v>3</v>
      </c>
      <c r="B2418" s="26" t="s">
        <v>2413</v>
      </c>
      <c r="C2418" s="2" t="str">
        <f ca="1">IFERROR(__xludf.DUMMYFUNCTION("GOOGLETRANSLATE(B2418, ""bn"", ""en"")"),"Bangladesh's BNP and Jamaat-e-Islam have denied allegations of attacks on Hindus.")</f>
        <v>Bangladesh's BNP and Jamaat-e-Islam have denied allegations of attacks on Hindus.</v>
      </c>
      <c r="D2418" s="7"/>
      <c r="E2418" s="7"/>
      <c r="F2418" s="5"/>
      <c r="G2418" s="5"/>
      <c r="H2418" s="5"/>
      <c r="I2418" s="5"/>
      <c r="J2418" s="5"/>
      <c r="K2418" s="5"/>
      <c r="L2418" s="5"/>
      <c r="M2418" s="5"/>
      <c r="N2418" s="5"/>
      <c r="O2418" s="5"/>
      <c r="P2418" s="5"/>
      <c r="Q2418" s="5"/>
      <c r="R2418" s="5"/>
      <c r="S2418" s="5"/>
      <c r="T2418" s="5"/>
      <c r="U2418" s="5"/>
      <c r="V2418" s="5"/>
      <c r="W2418" s="5"/>
      <c r="X2418" s="5"/>
      <c r="Y2418" s="5"/>
      <c r="Z2418" s="5"/>
    </row>
    <row r="2419" spans="1:26" ht="15.6" x14ac:dyDescent="0.3">
      <c r="A2419" s="18" t="s">
        <v>3</v>
      </c>
      <c r="B2419" s="25" t="s">
        <v>2414</v>
      </c>
      <c r="C2419" s="2" t="str">
        <f ca="1">IFERROR(__xludf.DUMMYFUNCTION("GOOGLETRANSLATE(B2419, ""bn"", ""en"")"),"Conch will be played during puja, Azaan will be called during prayer, communal harmony will prevail, the soul of Bengali will remain. His religion, his festival, this will be the principle, religion is the place of religion, recently in humanity")</f>
        <v>Conch will be played during puja, Azaan will be called during prayer, communal harmony will prevail, the soul of Bengali will remain. His religion, his festival, this will be the principle, religion is the place of religion, recently in humanity</v>
      </c>
      <c r="D2419" s="5"/>
      <c r="E2419" s="5"/>
      <c r="F2419" s="5"/>
      <c r="G2419" s="5"/>
      <c r="H2419" s="5"/>
      <c r="I2419" s="5"/>
      <c r="J2419" s="5"/>
      <c r="K2419" s="5"/>
      <c r="L2419" s="5"/>
      <c r="M2419" s="5"/>
      <c r="N2419" s="5"/>
      <c r="O2419" s="5"/>
      <c r="P2419" s="5"/>
      <c r="Q2419" s="5"/>
      <c r="R2419" s="5"/>
      <c r="S2419" s="5"/>
      <c r="T2419" s="5"/>
      <c r="U2419" s="5"/>
      <c r="V2419" s="5"/>
      <c r="W2419" s="5"/>
      <c r="X2419" s="5"/>
      <c r="Y2419" s="5"/>
      <c r="Z2419" s="5"/>
    </row>
    <row r="2420" spans="1:26" ht="15.6" x14ac:dyDescent="0.3">
      <c r="A2420" s="18" t="s">
        <v>23</v>
      </c>
      <c r="B2420" s="24" t="s">
        <v>2415</v>
      </c>
      <c r="C2420" s="2" t="str">
        <f ca="1">IFERROR(__xludf.DUMMYFUNCTION("GOOGLETRANSLATE(B2420, ""bn"", ""en"")"),"Christian missionaries are creating religious unrest and division in the country in the name of conversion.")</f>
        <v>Christian missionaries are creating religious unrest and division in the country in the name of conversion.</v>
      </c>
      <c r="D2420" s="5"/>
      <c r="E2420" s="5"/>
      <c r="F2420" s="5"/>
      <c r="G2420" s="5"/>
      <c r="H2420" s="5"/>
      <c r="I2420" s="5"/>
      <c r="J2420" s="5"/>
      <c r="K2420" s="5"/>
      <c r="L2420" s="5"/>
      <c r="M2420" s="5"/>
      <c r="N2420" s="5"/>
      <c r="O2420" s="5"/>
      <c r="P2420" s="5"/>
      <c r="Q2420" s="5"/>
      <c r="R2420" s="5"/>
      <c r="S2420" s="5"/>
      <c r="T2420" s="5"/>
      <c r="U2420" s="5"/>
      <c r="V2420" s="5"/>
      <c r="W2420" s="5"/>
      <c r="X2420" s="5"/>
      <c r="Y2420" s="5"/>
      <c r="Z2420" s="5"/>
    </row>
    <row r="2421" spans="1:26" ht="15.6" x14ac:dyDescent="0.3">
      <c r="A2421" s="18" t="s">
        <v>23</v>
      </c>
      <c r="B2421" s="25" t="s">
        <v>2416</v>
      </c>
      <c r="C2421" s="2" t="str">
        <f ca="1">IFERROR(__xludf.DUMMYFUNCTION("GOOGLETRANSLATE(B2421, ""bn"", ""en"")"),"The Muslim constable of the police station forced all the Hindu men out of the police station. The frenzied Muslim crowd then severely beat them, took them to the local big mosque, converted them to Islam and forced them to eat beef.")</f>
        <v>The Muslim constable of the police station forced all the Hindu men out of the police station. The frenzied Muslim crowd then severely beat them, took them to the local big mosque, converted them to Islam and forced them to eat beef.</v>
      </c>
      <c r="D2421" s="6"/>
      <c r="E2421" s="6"/>
      <c r="F2421" s="6"/>
      <c r="G2421" s="2"/>
      <c r="H2421" s="5"/>
      <c r="I2421" s="5"/>
      <c r="J2421" s="5"/>
      <c r="K2421" s="5"/>
      <c r="L2421" s="5"/>
      <c r="M2421" s="5"/>
      <c r="N2421" s="5"/>
      <c r="O2421" s="5"/>
      <c r="P2421" s="5"/>
      <c r="Q2421" s="5"/>
      <c r="R2421" s="5"/>
      <c r="S2421" s="5"/>
      <c r="T2421" s="5"/>
      <c r="U2421" s="5"/>
      <c r="V2421" s="5"/>
      <c r="W2421" s="5"/>
      <c r="X2421" s="5"/>
      <c r="Y2421" s="5"/>
      <c r="Z2421" s="5"/>
    </row>
    <row r="2422" spans="1:26" ht="15.6" x14ac:dyDescent="0.3">
      <c r="A2422" s="18" t="s">
        <v>5</v>
      </c>
      <c r="B2422" s="25" t="s">
        <v>2417</v>
      </c>
      <c r="C2422" s="2" t="str">
        <f ca="1">IFERROR(__xludf.DUMMYFUNCTION("GOOGLETRANSLATE(B2422, ""bn"", ""en"")"),"A brutal incident took place in Dinajpur on Thursday when a local woman entered the house of the Upazila Nirbahi Officer and stabbed him and his father, being Hindus.")</f>
        <v>A brutal incident took place in Dinajpur on Thursday when a local woman entered the house of the Upazila Nirbahi Officer and stabbed him and his father, being Hindus.</v>
      </c>
      <c r="D2422" s="2"/>
      <c r="E2422" s="2"/>
      <c r="F2422" s="2"/>
      <c r="G2422" s="2"/>
      <c r="H2422" s="5"/>
      <c r="I2422" s="5"/>
      <c r="J2422" s="5"/>
      <c r="K2422" s="5"/>
      <c r="L2422" s="5"/>
      <c r="M2422" s="5"/>
      <c r="N2422" s="5"/>
      <c r="O2422" s="5"/>
      <c r="P2422" s="5"/>
      <c r="Q2422" s="5"/>
      <c r="R2422" s="5"/>
      <c r="S2422" s="5"/>
      <c r="T2422" s="5"/>
      <c r="U2422" s="5"/>
      <c r="V2422" s="5"/>
      <c r="W2422" s="5"/>
      <c r="X2422" s="5"/>
      <c r="Y2422" s="5"/>
      <c r="Z2422" s="5"/>
    </row>
    <row r="2423" spans="1:26" ht="15.6" x14ac:dyDescent="0.3">
      <c r="A2423" s="18" t="s">
        <v>8</v>
      </c>
      <c r="B2423" s="24" t="s">
        <v>2418</v>
      </c>
      <c r="C2423" s="2" t="str">
        <f ca="1">IFERROR(__xludf.DUMMYFUNCTION("GOOGLETRANSLATE(B2423, ""bn"", ""en"")"),"A group of miscreants broke into an ancient temple in Jamalpur and smashed a century-old clay idol with a hammer.")</f>
        <v>A group of miscreants broke into an ancient temple in Jamalpur and smashed a century-old clay idol with a hammer.</v>
      </c>
      <c r="D2423" s="5"/>
      <c r="E2423" s="5"/>
      <c r="F2423" s="5"/>
      <c r="G2423" s="5"/>
      <c r="H2423" s="5"/>
      <c r="I2423" s="5"/>
      <c r="J2423" s="5"/>
      <c r="K2423" s="5"/>
      <c r="L2423" s="5"/>
      <c r="M2423" s="5"/>
      <c r="N2423" s="5"/>
      <c r="O2423" s="5"/>
      <c r="P2423" s="5"/>
      <c r="Q2423" s="5"/>
      <c r="R2423" s="5"/>
      <c r="S2423" s="5"/>
      <c r="T2423" s="5"/>
      <c r="U2423" s="5"/>
      <c r="V2423" s="5"/>
      <c r="W2423" s="5"/>
      <c r="X2423" s="5"/>
      <c r="Y2423" s="5"/>
      <c r="Z2423" s="5"/>
    </row>
    <row r="2424" spans="1:26" ht="15.6" x14ac:dyDescent="0.3">
      <c r="A2424" s="18" t="s">
        <v>5</v>
      </c>
      <c r="B2424" s="24" t="s">
        <v>2419</v>
      </c>
      <c r="C2424" s="2" t="str">
        <f ca="1">IFERROR(__xludf.DUMMYFUNCTION("GOOGLETRANSLATE(B2424, ""bn"", ""en"")"),"16 people were killed when a school was set on fire due to religious conflict.")</f>
        <v>16 people were killed when a school was set on fire due to religious conflict.</v>
      </c>
      <c r="D2424" s="5"/>
      <c r="E2424" s="5"/>
      <c r="F2424" s="5"/>
      <c r="G2424" s="5"/>
      <c r="H2424" s="5"/>
      <c r="I2424" s="5"/>
      <c r="J2424" s="5"/>
      <c r="K2424" s="5"/>
      <c r="L2424" s="5"/>
      <c r="M2424" s="5"/>
      <c r="N2424" s="5"/>
      <c r="O2424" s="5"/>
      <c r="P2424" s="5"/>
      <c r="Q2424" s="5"/>
      <c r="R2424" s="5"/>
      <c r="S2424" s="5"/>
      <c r="T2424" s="5"/>
      <c r="U2424" s="5"/>
      <c r="V2424" s="5"/>
      <c r="W2424" s="5"/>
      <c r="X2424" s="5"/>
      <c r="Y2424" s="5"/>
      <c r="Z2424" s="5"/>
    </row>
    <row r="2425" spans="1:26" ht="15.6" x14ac:dyDescent="0.3">
      <c r="A2425" s="18" t="s">
        <v>8</v>
      </c>
      <c r="B2425" s="24" t="s">
        <v>2420</v>
      </c>
      <c r="C2425" s="2" t="str">
        <f ca="1">IFERROR(__xludf.DUMMYFUNCTION("GOOGLETRANSLATE(B2425, ""bn"", ""en"")"),"On 28 March 2024, the Puja Mandap was set on fire in Daulatpur, Kushtia, the idol under construction was completely burnt.")</f>
        <v>On 28 March 2024, the Puja Mandap was set on fire in Daulatpur, Kushtia, the idol under construction was completely burnt.</v>
      </c>
      <c r="D2425" s="5"/>
      <c r="E2425" s="5"/>
      <c r="F2425" s="5"/>
      <c r="G2425" s="5"/>
      <c r="H2425" s="5"/>
      <c r="I2425" s="5"/>
      <c r="J2425" s="5"/>
      <c r="K2425" s="5"/>
      <c r="L2425" s="5"/>
      <c r="M2425" s="5"/>
      <c r="N2425" s="5"/>
      <c r="O2425" s="5"/>
      <c r="P2425" s="5"/>
      <c r="Q2425" s="5"/>
      <c r="R2425" s="5"/>
      <c r="S2425" s="5"/>
      <c r="T2425" s="5"/>
      <c r="U2425" s="5"/>
      <c r="V2425" s="5"/>
      <c r="W2425" s="5"/>
      <c r="X2425" s="5"/>
      <c r="Y2425" s="5"/>
      <c r="Z2425" s="5"/>
    </row>
    <row r="2426" spans="1:26" ht="15.6" x14ac:dyDescent="0.3">
      <c r="A2426" s="18" t="s">
        <v>8</v>
      </c>
      <c r="B2426" s="25" t="s">
        <v>2421</v>
      </c>
      <c r="C2426" s="2" t="str">
        <f ca="1">IFERROR(__xludf.DUMMYFUNCTION("GOOGLETRANSLATE(B2426, ""bn"", ""en"")"),"Some kuchkri mahals have created Hindu-Muslim riots by promoting it as mosques are being built on temple land for political gain.")</f>
        <v>Some kuchkri mahals have created Hindu-Muslim riots by promoting it as mosques are being built on temple land for political gain.</v>
      </c>
      <c r="D2426" s="2"/>
      <c r="E2426" s="2"/>
      <c r="F2426" s="2"/>
      <c r="G2426" s="2"/>
      <c r="H2426" s="5"/>
      <c r="I2426" s="5"/>
      <c r="J2426" s="5"/>
      <c r="K2426" s="5"/>
      <c r="L2426" s="5"/>
      <c r="M2426" s="5"/>
      <c r="N2426" s="5"/>
      <c r="O2426" s="5"/>
      <c r="P2426" s="5"/>
      <c r="Q2426" s="5"/>
      <c r="R2426" s="5"/>
      <c r="S2426" s="5"/>
      <c r="T2426" s="5"/>
      <c r="U2426" s="5"/>
      <c r="V2426" s="5"/>
      <c r="W2426" s="5"/>
      <c r="X2426" s="5"/>
      <c r="Y2426" s="5"/>
      <c r="Z2426" s="5"/>
    </row>
    <row r="2427" spans="1:26" ht="15.6" x14ac:dyDescent="0.3">
      <c r="A2427" s="18" t="s">
        <v>5</v>
      </c>
      <c r="B2427" s="25" t="s">
        <v>2422</v>
      </c>
      <c r="C2427" s="2" t="str">
        <f ca="1">IFERROR(__xludf.DUMMYFUNCTION("GOOGLETRANSLATE(B2427, ""bn"", ""en"")"),"Following Iran's Islamic Revolution, many dissidents and dissenting ideologues were executed, a reflection of religious repression.")</f>
        <v>Following Iran's Islamic Revolution, many dissidents and dissenting ideologues were executed, a reflection of religious repression.</v>
      </c>
      <c r="D2427" s="5"/>
      <c r="E2427" s="5"/>
      <c r="F2427" s="5"/>
      <c r="G2427" s="5"/>
      <c r="H2427" s="5"/>
      <c r="I2427" s="5"/>
      <c r="J2427" s="5"/>
      <c r="K2427" s="5"/>
      <c r="L2427" s="5"/>
      <c r="M2427" s="5"/>
      <c r="N2427" s="5"/>
      <c r="O2427" s="5"/>
      <c r="P2427" s="5"/>
      <c r="Q2427" s="5"/>
      <c r="R2427" s="5"/>
      <c r="S2427" s="5"/>
      <c r="T2427" s="5"/>
      <c r="U2427" s="5"/>
      <c r="V2427" s="5"/>
      <c r="W2427" s="5"/>
      <c r="X2427" s="5"/>
      <c r="Y2427" s="5"/>
      <c r="Z2427" s="5"/>
    </row>
    <row r="2428" spans="1:26" ht="15.6" x14ac:dyDescent="0.3">
      <c r="A2428" s="18" t="s">
        <v>23</v>
      </c>
      <c r="B2428" s="25" t="s">
        <v>2423</v>
      </c>
      <c r="C2428" s="2" t="str">
        <f ca="1">IFERROR(__xludf.DUMMYFUNCTION("GOOGLETRANSLATE(B2428, ""bn"", ""en"")"),"The Christian majority in Dinajpur treated the Hindus as slaves, even today they do not consider them as human beings.")</f>
        <v>The Christian majority in Dinajpur treated the Hindus as slaves, even today they do not consider them as human beings.</v>
      </c>
      <c r="D2428" s="5"/>
      <c r="E2428" s="5"/>
      <c r="F2428" s="5"/>
      <c r="G2428" s="5"/>
      <c r="H2428" s="5"/>
      <c r="I2428" s="5"/>
      <c r="J2428" s="5"/>
      <c r="K2428" s="5"/>
      <c r="L2428" s="5"/>
      <c r="M2428" s="5"/>
      <c r="N2428" s="5"/>
      <c r="O2428" s="5"/>
      <c r="P2428" s="5"/>
      <c r="Q2428" s="5"/>
      <c r="R2428" s="5"/>
      <c r="S2428" s="5"/>
      <c r="T2428" s="5"/>
      <c r="U2428" s="5"/>
      <c r="V2428" s="5"/>
      <c r="W2428" s="5"/>
      <c r="X2428" s="5"/>
      <c r="Y2428" s="5"/>
      <c r="Z2428" s="5"/>
    </row>
    <row r="2429" spans="1:26" ht="15.6" x14ac:dyDescent="0.3">
      <c r="A2429" s="18" t="s">
        <v>5</v>
      </c>
      <c r="B2429" s="24" t="s">
        <v>2424</v>
      </c>
      <c r="C2429" s="2" t="str">
        <f ca="1">IFERROR(__xludf.DUMMYFUNCTION("GOOGLETRANSLATE(B2429, ""bn"", ""en"")"),"In March 2018, a religious group banned girls from the sport, leading to violence against those who took part in the sport, killing 15 people.")</f>
        <v>In March 2018, a religious group banned girls from the sport, leading to violence against those who took part in the sport, killing 15 people.</v>
      </c>
      <c r="D2429" s="5"/>
      <c r="E2429" s="5"/>
      <c r="F2429" s="5"/>
      <c r="G2429" s="5"/>
      <c r="H2429" s="5"/>
      <c r="I2429" s="5"/>
      <c r="J2429" s="5"/>
      <c r="K2429" s="5"/>
      <c r="L2429" s="5"/>
      <c r="M2429" s="5"/>
      <c r="N2429" s="5"/>
      <c r="O2429" s="5"/>
      <c r="P2429" s="5"/>
      <c r="Q2429" s="5"/>
      <c r="R2429" s="5"/>
      <c r="S2429" s="5"/>
      <c r="T2429" s="5"/>
      <c r="U2429" s="5"/>
      <c r="V2429" s="5"/>
      <c r="W2429" s="5"/>
      <c r="X2429" s="5"/>
      <c r="Y2429" s="5"/>
      <c r="Z2429" s="5"/>
    </row>
    <row r="2430" spans="1:26" ht="15.6" x14ac:dyDescent="0.3">
      <c r="A2430" s="18" t="s">
        <v>23</v>
      </c>
      <c r="B2430" s="24" t="s">
        <v>2425</v>
      </c>
      <c r="C2430" s="2" t="str">
        <f ca="1">IFERROR(__xludf.DUMMYFUNCTION("GOOGLETRANSLATE(B2430, ""bn"", ""en"")"),"Some radical groups in the Muslim community spread religious extremism, create hatred towards other religions and encourage violence.")</f>
        <v>Some radical groups in the Muslim community spread religious extremism, create hatred towards other religions and encourage violence.</v>
      </c>
      <c r="D2430" s="5"/>
      <c r="E2430" s="5"/>
      <c r="F2430" s="5"/>
      <c r="G2430" s="5"/>
      <c r="H2430" s="5"/>
      <c r="I2430" s="5"/>
      <c r="J2430" s="5"/>
      <c r="K2430" s="5"/>
      <c r="L2430" s="5"/>
      <c r="M2430" s="5"/>
      <c r="N2430" s="5"/>
      <c r="O2430" s="5"/>
      <c r="P2430" s="5"/>
      <c r="Q2430" s="5"/>
      <c r="R2430" s="5"/>
      <c r="S2430" s="5"/>
      <c r="T2430" s="5"/>
      <c r="U2430" s="5"/>
      <c r="V2430" s="5"/>
      <c r="W2430" s="5"/>
      <c r="X2430" s="5"/>
      <c r="Y2430" s="5"/>
      <c r="Z2430" s="5"/>
    </row>
    <row r="2431" spans="1:26" ht="15.6" x14ac:dyDescent="0.3">
      <c r="A2431" s="19" t="s">
        <v>5</v>
      </c>
      <c r="B2431" s="26" t="s">
        <v>2426</v>
      </c>
      <c r="C2431" s="2" t="str">
        <f ca="1">IFERROR(__xludf.DUMMYFUNCTION("GOOGLETRANSLATE(B2431, ""bn"", ""en"")"),"Maha Kumbha is a great disaster. Death by trampling. This time, the government has informed that 30 people have died after being trampled in the Mahakumbh in Prayagraj. DIG Mahakumbha Vaibhav Krishna confirmed the death toll.")</f>
        <v>Maha Kumbha is a great disaster. Death by trampling. This time, the government has informed that 30 people have died after being trampled in the Mahakumbh in Prayagraj. DIG Mahakumbha Vaibhav Krishna confirmed the death toll.</v>
      </c>
      <c r="D2431" s="5"/>
      <c r="E2431" s="5"/>
      <c r="F2431" s="5"/>
      <c r="G2431" s="5"/>
      <c r="H2431" s="5"/>
      <c r="I2431" s="5"/>
      <c r="J2431" s="5"/>
      <c r="K2431" s="5"/>
      <c r="L2431" s="5"/>
      <c r="M2431" s="5"/>
      <c r="N2431" s="5"/>
      <c r="O2431" s="5"/>
      <c r="P2431" s="5"/>
      <c r="Q2431" s="5"/>
      <c r="R2431" s="5"/>
      <c r="S2431" s="5"/>
      <c r="T2431" s="5"/>
      <c r="U2431" s="5"/>
      <c r="V2431" s="5"/>
      <c r="W2431" s="5"/>
      <c r="X2431" s="5"/>
      <c r="Y2431" s="5"/>
      <c r="Z2431" s="5"/>
    </row>
    <row r="2432" spans="1:26" ht="15.6" x14ac:dyDescent="0.3">
      <c r="A2432" s="18" t="s">
        <v>5</v>
      </c>
      <c r="B2432" s="25" t="s">
        <v>2427</v>
      </c>
      <c r="C2432" s="2" t="str">
        <f ca="1">IFERROR(__xludf.DUMMYFUNCTION("GOOGLETRANSLATE(B2432, ""bn"", ""en"")"),"In 2022, 154 people from minority communities were killed and 39 women were raped in Bangladesh In a press conference, the Bangladesh National Hindu Mahazot highlighted these facts of violence against minorities")</f>
        <v>In 2022, 154 people from minority communities were killed and 39 women were raped in Bangladesh In a press conference, the Bangladesh National Hindu Mahazot highlighted these facts of violence against minorities</v>
      </c>
      <c r="D2432" s="6"/>
      <c r="E2432" s="6"/>
      <c r="F2432" s="6"/>
      <c r="G2432" s="2"/>
      <c r="H2432" s="5"/>
      <c r="I2432" s="5"/>
      <c r="J2432" s="5"/>
      <c r="K2432" s="5"/>
      <c r="L2432" s="5"/>
      <c r="M2432" s="5"/>
      <c r="N2432" s="5"/>
      <c r="O2432" s="5"/>
      <c r="P2432" s="5"/>
      <c r="Q2432" s="5"/>
      <c r="R2432" s="5"/>
      <c r="S2432" s="5"/>
      <c r="T2432" s="5"/>
      <c r="U2432" s="5"/>
      <c r="V2432" s="5"/>
      <c r="W2432" s="5"/>
      <c r="X2432" s="5"/>
      <c r="Y2432" s="5"/>
      <c r="Z2432" s="5"/>
    </row>
    <row r="2433" spans="1:26" ht="15.6" x14ac:dyDescent="0.3">
      <c r="A2433" s="18" t="s">
        <v>8</v>
      </c>
      <c r="B2433" s="25" t="s">
        <v>2428</v>
      </c>
      <c r="C2433" s="2" t="str">
        <f ca="1">IFERROR(__xludf.DUMMYFUNCTION("GOOGLETRANSLATE(B2433, ""bn"", ""en"")"),"Attacks on Hindu institutions have increased by 14% since 2004, according to government reports. Hindus and Hinduism are being called exotic by Christian fundamentalists. Hindus have been attacked by Fijian Christian fundamentalists, particularly after th"&amp;"e May 2000 coup.")</f>
        <v>Attacks on Hindu institutions have increased by 14% since 2004, according to government reports. Hindus and Hinduism are being called exotic by Christian fundamentalists. Hindus have been attacked by Fijian Christian fundamentalists, particularly after the May 2000 coup.</v>
      </c>
      <c r="D2433" s="5"/>
      <c r="E2433" s="5"/>
      <c r="F2433" s="5"/>
      <c r="G2433" s="5"/>
      <c r="H2433" s="5"/>
      <c r="I2433" s="5"/>
      <c r="J2433" s="5"/>
      <c r="K2433" s="5"/>
      <c r="L2433" s="5"/>
      <c r="M2433" s="5"/>
      <c r="N2433" s="5"/>
      <c r="O2433" s="5"/>
      <c r="P2433" s="5"/>
      <c r="Q2433" s="5"/>
      <c r="R2433" s="5"/>
      <c r="S2433" s="5"/>
      <c r="T2433" s="5"/>
      <c r="U2433" s="5"/>
      <c r="V2433" s="5"/>
      <c r="W2433" s="5"/>
      <c r="X2433" s="5"/>
      <c r="Y2433" s="5"/>
      <c r="Z2433" s="5"/>
    </row>
    <row r="2434" spans="1:26" ht="15.6" x14ac:dyDescent="0.3">
      <c r="A2434" s="18" t="s">
        <v>5</v>
      </c>
      <c r="B2434" s="24" t="s">
        <v>2429</v>
      </c>
      <c r="C2434" s="2" t="str">
        <f ca="1">IFERROR(__xludf.DUMMYFUNCTION("GOOGLETRANSLATE(B2434, ""bn"", ""en"")"),"46 people were killed in clashes between religious groups in Satkhira. Police surround the area, the government orders to maintain calm and religious tolerance. Many minority families leave the village for safety.")</f>
        <v>46 people were killed in clashes between religious groups in Satkhira. Police surround the area, the government orders to maintain calm and religious tolerance. Many minority families leave the village for safety.</v>
      </c>
      <c r="D2434" s="5"/>
      <c r="E2434" s="5"/>
      <c r="F2434" s="5"/>
      <c r="G2434" s="5"/>
      <c r="H2434" s="5"/>
      <c r="I2434" s="5"/>
      <c r="J2434" s="5"/>
      <c r="K2434" s="5"/>
      <c r="L2434" s="5"/>
      <c r="M2434" s="5"/>
      <c r="N2434" s="5"/>
      <c r="O2434" s="5"/>
      <c r="P2434" s="5"/>
      <c r="Q2434" s="5"/>
      <c r="R2434" s="5"/>
      <c r="S2434" s="5"/>
      <c r="T2434" s="5"/>
      <c r="U2434" s="5"/>
      <c r="V2434" s="5"/>
      <c r="W2434" s="5"/>
      <c r="X2434" s="5"/>
      <c r="Y2434" s="5"/>
      <c r="Z2434" s="5"/>
    </row>
    <row r="2435" spans="1:26" ht="15.6" x14ac:dyDescent="0.3">
      <c r="A2435" s="19" t="s">
        <v>23</v>
      </c>
      <c r="B2435" s="31" t="s">
        <v>2430</v>
      </c>
      <c r="C2435" s="2" t="str">
        <f ca="1">IFERROR(__xludf.DUMMYFUNCTION("GOOGLETRANSLATE(B2435, ""bn"", ""en"")"),"You can think; Navami day and gave my course semester final. I want to defer my course exam; The department said, 'If you take leave, take it later. You will get leave from tenth day")</f>
        <v>You can think; Navami day and gave my course semester final. I want to defer my course exam; The department said, 'If you take leave, take it later. You will get leave from tenth day</v>
      </c>
      <c r="D2435" s="5"/>
      <c r="E2435" s="5"/>
      <c r="F2435" s="5"/>
      <c r="G2435" s="5"/>
      <c r="H2435" s="5"/>
      <c r="I2435" s="5"/>
      <c r="J2435" s="5"/>
      <c r="K2435" s="5"/>
      <c r="L2435" s="5"/>
      <c r="M2435" s="5"/>
      <c r="N2435" s="5"/>
      <c r="O2435" s="5"/>
      <c r="P2435" s="5"/>
      <c r="Q2435" s="5"/>
      <c r="R2435" s="5"/>
      <c r="S2435" s="5"/>
      <c r="T2435" s="5"/>
      <c r="U2435" s="5"/>
      <c r="V2435" s="5"/>
      <c r="W2435" s="5"/>
      <c r="X2435" s="5"/>
      <c r="Y2435" s="5"/>
      <c r="Z2435" s="5"/>
    </row>
    <row r="2436" spans="1:26" ht="15.6" x14ac:dyDescent="0.3">
      <c r="A2436" s="19" t="s">
        <v>3</v>
      </c>
      <c r="B2436" s="26" t="s">
        <v>2431</v>
      </c>
      <c r="C2436" s="2" t="str">
        <f ca="1">IFERROR(__xludf.DUMMYFUNCTION("GOOGLETRANSLATE(B2436, ""bn"", ""en"")"),"Religion is not really a great sin; Those who practice religion do not commit suicide. My comment is wrong, please forgive and delete if possible.")</f>
        <v>Religion is not really a great sin; Those who practice religion do not commit suicide. My comment is wrong, please forgive and delete if possible.</v>
      </c>
      <c r="D2436" s="7"/>
      <c r="E2436" s="7"/>
      <c r="F2436" s="7"/>
      <c r="G2436" s="7"/>
      <c r="H2436" s="7"/>
      <c r="I2436" s="7"/>
      <c r="J2436" s="7"/>
      <c r="K2436" s="5"/>
      <c r="L2436" s="5"/>
      <c r="M2436" s="5"/>
      <c r="N2436" s="5"/>
      <c r="O2436" s="5"/>
      <c r="P2436" s="5"/>
      <c r="Q2436" s="5"/>
      <c r="R2436" s="5"/>
      <c r="S2436" s="5"/>
      <c r="T2436" s="5"/>
      <c r="U2436" s="5"/>
      <c r="V2436" s="5"/>
      <c r="W2436" s="5"/>
      <c r="X2436" s="5"/>
      <c r="Y2436" s="5"/>
      <c r="Z2436" s="5"/>
    </row>
    <row r="2437" spans="1:26" ht="15.6" x14ac:dyDescent="0.3">
      <c r="A2437" s="18" t="s">
        <v>3</v>
      </c>
      <c r="B2437" s="25" t="s">
        <v>2432</v>
      </c>
      <c r="C2437" s="2" t="str">
        <f ca="1">IFERROR(__xludf.DUMMYFUNCTION("GOOGLETRANSLATE(B2437, ""bn"", ""en"")"),"We tend to indulge emotion as a substitute for real religious knowledge and real religious education. But the real mainstream scholars are taking this as a positive thing.")</f>
        <v>We tend to indulge emotion as a substitute for real religious knowledge and real religious education. But the real mainstream scholars are taking this as a positive thing.</v>
      </c>
      <c r="D2437" s="5"/>
      <c r="E2437" s="5"/>
      <c r="F2437" s="5"/>
      <c r="G2437" s="5"/>
      <c r="H2437" s="5"/>
      <c r="I2437" s="5"/>
      <c r="J2437" s="5"/>
      <c r="K2437" s="5"/>
      <c r="L2437" s="5"/>
      <c r="M2437" s="5"/>
      <c r="N2437" s="5"/>
      <c r="O2437" s="5"/>
      <c r="P2437" s="5"/>
      <c r="Q2437" s="5"/>
      <c r="R2437" s="5"/>
      <c r="S2437" s="5"/>
      <c r="T2437" s="5"/>
      <c r="U2437" s="5"/>
      <c r="V2437" s="5"/>
      <c r="W2437" s="5"/>
      <c r="X2437" s="5"/>
      <c r="Y2437" s="5"/>
      <c r="Z2437" s="5"/>
    </row>
    <row r="2438" spans="1:26" ht="15.6" x14ac:dyDescent="0.3">
      <c r="A2438" s="18" t="s">
        <v>8</v>
      </c>
      <c r="B2438" s="25" t="s">
        <v>2433</v>
      </c>
      <c r="C2438" s="2" t="str">
        <f ca="1">IFERROR(__xludf.DUMMYFUNCTION("GOOGLETRANSLATE(B2438, ""bn"", ""en"")"),"As the light of Islam spread to Arabia, Brahmins in Bengal were building temples and burning Buddhist monasteries, killing hundreds of Buddhist monks and trying to wipe out the religion.")</f>
        <v>As the light of Islam spread to Arabia, Brahmins in Bengal were building temples and burning Buddhist monasteries, killing hundreds of Buddhist monks and trying to wipe out the religion.</v>
      </c>
      <c r="D2438" s="5"/>
      <c r="E2438" s="5"/>
      <c r="F2438" s="5"/>
      <c r="G2438" s="5"/>
      <c r="H2438" s="5"/>
      <c r="I2438" s="5"/>
      <c r="J2438" s="5"/>
      <c r="K2438" s="5"/>
      <c r="L2438" s="5"/>
      <c r="M2438" s="5"/>
      <c r="N2438" s="5"/>
      <c r="O2438" s="5"/>
      <c r="P2438" s="5"/>
      <c r="Q2438" s="5"/>
      <c r="R2438" s="5"/>
      <c r="S2438" s="5"/>
      <c r="T2438" s="5"/>
      <c r="U2438" s="5"/>
      <c r="V2438" s="5"/>
      <c r="W2438" s="5"/>
      <c r="X2438" s="5"/>
      <c r="Y2438" s="5"/>
      <c r="Z2438" s="5"/>
    </row>
    <row r="2439" spans="1:26" ht="15.6" x14ac:dyDescent="0.3">
      <c r="A2439" s="18" t="s">
        <v>3</v>
      </c>
      <c r="B2439" s="25" t="s">
        <v>2434</v>
      </c>
      <c r="C2439" s="2" t="str">
        <f ca="1">IFERROR(__xludf.DUMMYFUNCTION("GOOGLETRANSLATE(B2439, ""bn"", ""en"")"),"RSS believes that the word Hindu does not refer to any caste.")</f>
        <v>RSS believes that the word Hindu does not refer to any caste.</v>
      </c>
      <c r="D2439" s="5"/>
      <c r="E2439" s="5"/>
      <c r="F2439" s="5"/>
      <c r="G2439" s="5"/>
      <c r="H2439" s="5"/>
      <c r="I2439" s="5"/>
      <c r="J2439" s="5"/>
      <c r="K2439" s="5"/>
      <c r="L2439" s="5"/>
      <c r="M2439" s="5"/>
      <c r="N2439" s="5"/>
      <c r="O2439" s="5"/>
      <c r="P2439" s="5"/>
      <c r="Q2439" s="5"/>
      <c r="R2439" s="5"/>
      <c r="S2439" s="5"/>
      <c r="T2439" s="5"/>
      <c r="U2439" s="5"/>
      <c r="V2439" s="5"/>
      <c r="W2439" s="5"/>
      <c r="X2439" s="5"/>
      <c r="Y2439" s="5"/>
      <c r="Z2439" s="5"/>
    </row>
    <row r="2440" spans="1:26" ht="15.6" x14ac:dyDescent="0.3">
      <c r="A2440" s="18" t="s">
        <v>3</v>
      </c>
      <c r="B2440" s="25" t="s">
        <v>2435</v>
      </c>
      <c r="C2440" s="2" t="str">
        <f ca="1">IFERROR(__xludf.DUMMYFUNCTION("GOOGLETRANSLATE(B2440, ""bn"", ""en"")"),"Whenever I look at injustice, tyranny, oppression, my mind is confused, broken, I get hope again after listening to the master's lecture, my heart opens, Alhamdulillah.")</f>
        <v>Whenever I look at injustice, tyranny, oppression, my mind is confused, broken, I get hope again after listening to the master's lecture, my heart opens, Alhamdulillah.</v>
      </c>
      <c r="D2440" s="5"/>
      <c r="E2440" s="5"/>
      <c r="F2440" s="5"/>
      <c r="G2440" s="5"/>
      <c r="H2440" s="5"/>
      <c r="I2440" s="5"/>
      <c r="J2440" s="5"/>
      <c r="K2440" s="5"/>
      <c r="L2440" s="5"/>
      <c r="M2440" s="5"/>
      <c r="N2440" s="5"/>
      <c r="O2440" s="5"/>
      <c r="P2440" s="5"/>
      <c r="Q2440" s="5"/>
      <c r="R2440" s="5"/>
      <c r="S2440" s="5"/>
      <c r="T2440" s="5"/>
      <c r="U2440" s="5"/>
      <c r="V2440" s="5"/>
      <c r="W2440" s="5"/>
      <c r="X2440" s="5"/>
      <c r="Y2440" s="5"/>
      <c r="Z2440" s="5"/>
    </row>
    <row r="2441" spans="1:26" ht="15.6" x14ac:dyDescent="0.3">
      <c r="A2441" s="19" t="s">
        <v>8</v>
      </c>
      <c r="B2441" s="26" t="s">
        <v>2436</v>
      </c>
      <c r="C2441" s="2" t="str">
        <f ca="1">IFERROR(__xludf.DUMMYFUNCTION("GOOGLETRANSLATE(B2441, ""bn"", ""en"")"),"Eight Hindu houses were attacked and looted in Kamaria village of Shailkupa upazila of Jhenaidah at around 8.30 pm on July 31. At least 15 Hindus, including women, were injured in the incident.")</f>
        <v>Eight Hindu houses were attacked and looted in Kamaria village of Shailkupa upazila of Jhenaidah at around 8.30 pm on July 31. At least 15 Hindus, including women, were injured in the incident.</v>
      </c>
      <c r="D2441" s="5"/>
      <c r="E2441" s="5"/>
      <c r="F2441" s="5"/>
      <c r="G2441" s="5"/>
      <c r="H2441" s="5"/>
      <c r="I2441" s="5"/>
      <c r="J2441" s="5"/>
      <c r="K2441" s="5"/>
      <c r="L2441" s="5"/>
      <c r="M2441" s="5"/>
      <c r="N2441" s="5"/>
      <c r="O2441" s="5"/>
      <c r="P2441" s="5"/>
      <c r="Q2441" s="5"/>
      <c r="R2441" s="5"/>
      <c r="S2441" s="5"/>
      <c r="T2441" s="5"/>
      <c r="U2441" s="5"/>
      <c r="V2441" s="5"/>
      <c r="W2441" s="5"/>
      <c r="X2441" s="5"/>
      <c r="Y2441" s="5"/>
      <c r="Z2441" s="5"/>
    </row>
    <row r="2442" spans="1:26" ht="15.6" x14ac:dyDescent="0.3">
      <c r="A2442" s="18" t="s">
        <v>8</v>
      </c>
      <c r="B2442" s="25" t="s">
        <v>2437</v>
      </c>
      <c r="C2442" s="2" t="str">
        <f ca="1">IFERROR(__xludf.DUMMYFUNCTION("GOOGLETRANSLATE(B2442, ""bn"", ""en"")"),"On Monday, October 24, around 11:30 pm, a clash took place at Kalimandir in Dinajpur Sadar Upazila over gambling. An idol installed on the occasion of Kali Puja was vandalized.")</f>
        <v>On Monday, October 24, around 11:30 pm, a clash took place at Kalimandir in Dinajpur Sadar Upazila over gambling. An idol installed on the occasion of Kali Puja was vandalized.</v>
      </c>
      <c r="D2442" s="5"/>
      <c r="E2442" s="5"/>
      <c r="F2442" s="5"/>
      <c r="G2442" s="5"/>
      <c r="H2442" s="5"/>
      <c r="I2442" s="5"/>
      <c r="J2442" s="5"/>
      <c r="K2442" s="5"/>
      <c r="L2442" s="5"/>
      <c r="M2442" s="5"/>
      <c r="N2442" s="5"/>
      <c r="O2442" s="5"/>
      <c r="P2442" s="5"/>
      <c r="Q2442" s="5"/>
      <c r="R2442" s="5"/>
      <c r="S2442" s="5"/>
      <c r="T2442" s="5"/>
      <c r="U2442" s="5"/>
      <c r="V2442" s="5"/>
      <c r="W2442" s="5"/>
      <c r="X2442" s="5"/>
      <c r="Y2442" s="5"/>
      <c r="Z2442" s="5"/>
    </row>
    <row r="2443" spans="1:26" ht="15.6" x14ac:dyDescent="0.3">
      <c r="A2443" s="19" t="s">
        <v>5</v>
      </c>
      <c r="B2443" s="26" t="s">
        <v>2438</v>
      </c>
      <c r="C2443" s="2" t="str">
        <f ca="1">IFERROR(__xludf.DUMMYFUNCTION("GOOGLETRANSLATE(B2443, ""bn"", ""en"")"),"A few days ago, the Muslim students of the university who were attacked because of their religious identity were not members of any political party.")</f>
        <v>A few days ago, the Muslim students of the university who were attacked because of their religious identity were not members of any political party.</v>
      </c>
      <c r="D2443" s="7"/>
      <c r="E2443" s="7"/>
      <c r="F2443" s="7"/>
      <c r="G2443" s="7"/>
      <c r="H2443" s="7"/>
      <c r="I2443" s="7"/>
      <c r="J2443" s="5"/>
      <c r="K2443" s="5"/>
      <c r="L2443" s="5"/>
      <c r="M2443" s="5"/>
      <c r="N2443" s="5"/>
      <c r="O2443" s="5"/>
      <c r="P2443" s="5"/>
      <c r="Q2443" s="5"/>
      <c r="R2443" s="5"/>
      <c r="S2443" s="5"/>
      <c r="T2443" s="5"/>
      <c r="U2443" s="5"/>
      <c r="V2443" s="5"/>
      <c r="W2443" s="5"/>
      <c r="X2443" s="5"/>
      <c r="Y2443" s="5"/>
      <c r="Z2443" s="5"/>
    </row>
    <row r="2444" spans="1:26" ht="15.6" x14ac:dyDescent="0.3">
      <c r="A2444" s="19" t="s">
        <v>8</v>
      </c>
      <c r="B2444" s="26" t="s">
        <v>2439</v>
      </c>
      <c r="C2444" s="2" t="str">
        <f ca="1">IFERROR(__xludf.DUMMYFUNCTION("GOOGLETRANSLATE(B2444, ""bn"", ""en"")"),"The attack was carried out last Sunday night in Tudun Biri village of Kaduna state targeting Eid Miladunnabi celebrations. Local Muslims gathered there to celebrate Prophet Mohammad's birthday.")</f>
        <v>The attack was carried out last Sunday night in Tudun Biri village of Kaduna state targeting Eid Miladunnabi celebrations. Local Muslims gathered there to celebrate Prophet Mohammad's birthday.</v>
      </c>
      <c r="D2444" s="5"/>
      <c r="E2444" s="5"/>
      <c r="F2444" s="5"/>
      <c r="G2444" s="5"/>
      <c r="H2444" s="5"/>
      <c r="I2444" s="5"/>
      <c r="J2444" s="5"/>
      <c r="K2444" s="5"/>
      <c r="L2444" s="5"/>
      <c r="M2444" s="5"/>
      <c r="N2444" s="5"/>
      <c r="O2444" s="5"/>
      <c r="P2444" s="5"/>
      <c r="Q2444" s="5"/>
      <c r="R2444" s="5"/>
      <c r="S2444" s="5"/>
      <c r="T2444" s="5"/>
      <c r="U2444" s="5"/>
      <c r="V2444" s="5"/>
      <c r="W2444" s="5"/>
      <c r="X2444" s="5"/>
      <c r="Y2444" s="5"/>
      <c r="Z2444" s="5"/>
    </row>
    <row r="2445" spans="1:26" ht="15.6" x14ac:dyDescent="0.3">
      <c r="A2445" s="18" t="s">
        <v>3</v>
      </c>
      <c r="B2445" s="24" t="s">
        <v>2440</v>
      </c>
      <c r="C2445" s="2" t="str">
        <f ca="1">IFERROR(__xludf.DUMMYFUNCTION("GOOGLETRANSLATE(B2445, ""bn"", ""en"")"),"Religious festivals like Ramadan, Puja, Christmas — they bring messages of love and union between people.")</f>
        <v>Religious festivals like Ramadan, Puja, Christmas — they bring messages of love and union between people.</v>
      </c>
      <c r="D2445" s="5"/>
      <c r="E2445" s="5"/>
      <c r="F2445" s="5"/>
      <c r="G2445" s="5"/>
      <c r="H2445" s="5"/>
      <c r="I2445" s="5"/>
      <c r="J2445" s="5"/>
      <c r="K2445" s="5"/>
      <c r="L2445" s="5"/>
      <c r="M2445" s="5"/>
      <c r="N2445" s="5"/>
      <c r="O2445" s="5"/>
      <c r="P2445" s="5"/>
      <c r="Q2445" s="5"/>
      <c r="R2445" s="5"/>
      <c r="S2445" s="5"/>
      <c r="T2445" s="5"/>
      <c r="U2445" s="5"/>
      <c r="V2445" s="5"/>
      <c r="W2445" s="5"/>
      <c r="X2445" s="5"/>
      <c r="Y2445" s="5"/>
      <c r="Z2445" s="5"/>
    </row>
    <row r="2446" spans="1:26" ht="15.6" x14ac:dyDescent="0.3">
      <c r="A2446" s="19" t="s">
        <v>8</v>
      </c>
      <c r="B2446" s="26" t="s">
        <v>2441</v>
      </c>
      <c r="C2446" s="2" t="str">
        <f ca="1">IFERROR(__xludf.DUMMYFUNCTION("GOOGLETRANSLATE(B2446, ""bn"", ""en"")"),"Let your scholars open the Sanatan religion so that everyone can understand, before you did not let the common people know the truth, how much oppression you used to do even in the matter of sati-immolation.")</f>
        <v>Let your scholars open the Sanatan religion so that everyone can understand, before you did not let the common people know the truth, how much oppression you used to do even in the matter of sati-immolation.</v>
      </c>
      <c r="D2446" s="5"/>
      <c r="E2446" s="5"/>
      <c r="F2446" s="5"/>
      <c r="G2446" s="5"/>
      <c r="H2446" s="5"/>
      <c r="I2446" s="5"/>
      <c r="J2446" s="5"/>
      <c r="K2446" s="5"/>
      <c r="L2446" s="5"/>
      <c r="M2446" s="5"/>
      <c r="N2446" s="5"/>
      <c r="O2446" s="5"/>
      <c r="P2446" s="5"/>
      <c r="Q2446" s="5"/>
      <c r="R2446" s="5"/>
      <c r="S2446" s="5"/>
      <c r="T2446" s="5"/>
      <c r="U2446" s="5"/>
      <c r="V2446" s="5"/>
      <c r="W2446" s="5"/>
      <c r="X2446" s="5"/>
      <c r="Y2446" s="5"/>
      <c r="Z2446" s="5"/>
    </row>
    <row r="2447" spans="1:26" ht="15.6" x14ac:dyDescent="0.3">
      <c r="A2447" s="19" t="s">
        <v>5</v>
      </c>
      <c r="B2447" s="26" t="s">
        <v>2442</v>
      </c>
      <c r="C2447" s="2" t="str">
        <f ca="1">IFERROR(__xludf.DUMMYFUNCTION("GOOGLETRANSLATE(B2447, ""bn"", ""en"")"),"About 10,000 people were killed in Hindu-Muslim violence in Bangladesh between 1950 and 1980.")</f>
        <v>About 10,000 people were killed in Hindu-Muslim violence in Bangladesh between 1950 and 1980.</v>
      </c>
      <c r="D2447" s="7"/>
      <c r="E2447" s="7"/>
      <c r="F2447" s="7"/>
      <c r="G2447" s="5"/>
      <c r="H2447" s="5"/>
      <c r="I2447" s="5"/>
      <c r="J2447" s="5"/>
      <c r="K2447" s="5"/>
      <c r="L2447" s="5"/>
      <c r="M2447" s="5"/>
      <c r="N2447" s="5"/>
      <c r="O2447" s="5"/>
      <c r="P2447" s="5"/>
      <c r="Q2447" s="5"/>
      <c r="R2447" s="5"/>
      <c r="S2447" s="5"/>
      <c r="T2447" s="5"/>
      <c r="U2447" s="5"/>
      <c r="V2447" s="5"/>
      <c r="W2447" s="5"/>
      <c r="X2447" s="5"/>
      <c r="Y2447" s="5"/>
      <c r="Z2447" s="5"/>
    </row>
    <row r="2448" spans="1:26" ht="15.6" x14ac:dyDescent="0.3">
      <c r="A2448" s="18" t="s">
        <v>5</v>
      </c>
      <c r="B2448" s="24" t="s">
        <v>2443</v>
      </c>
      <c r="C2448" s="2" t="str">
        <f ca="1">IFERROR(__xludf.DUMMYFUNCTION("GOOGLETRANSLATE(B2448, ""bn"", ""en"")"),"At least 42 people were killed in an attack on minority Hindus in Sylhet due to religious violence. The attackers burnt their temples and houses.")</f>
        <v>At least 42 people were killed in an attack on minority Hindus in Sylhet due to religious violence. The attackers burnt their temples and houses.</v>
      </c>
      <c r="D2448" s="5"/>
      <c r="E2448" s="5"/>
      <c r="F2448" s="5"/>
      <c r="G2448" s="5"/>
      <c r="H2448" s="5"/>
      <c r="I2448" s="5"/>
      <c r="J2448" s="5"/>
      <c r="K2448" s="5"/>
      <c r="L2448" s="5"/>
      <c r="M2448" s="5"/>
      <c r="N2448" s="5"/>
      <c r="O2448" s="5"/>
      <c r="P2448" s="5"/>
      <c r="Q2448" s="5"/>
      <c r="R2448" s="5"/>
      <c r="S2448" s="5"/>
      <c r="T2448" s="5"/>
      <c r="U2448" s="5"/>
      <c r="V2448" s="5"/>
      <c r="W2448" s="5"/>
      <c r="X2448" s="5"/>
      <c r="Y2448" s="5"/>
      <c r="Z2448" s="5"/>
    </row>
    <row r="2449" spans="1:26" ht="15.6" x14ac:dyDescent="0.3">
      <c r="A2449" s="19" t="s">
        <v>8</v>
      </c>
      <c r="B2449" s="26" t="s">
        <v>2444</v>
      </c>
      <c r="C2449" s="2" t="str">
        <f ca="1">IFERROR(__xludf.DUMMYFUNCTION("GOOGLETRANSLATE(B2449, ""bn"", ""en"")"),"A rumor was spread that Sheree Bangla AK Fazlul Haque and his sister-in-law were murdered in Kolkata. At least eight places were connected to fire by evening. Thirty houses were gutted and at least ten people were burnt to death.")</f>
        <v>A rumor was spread that Sheree Bangla AK Fazlul Haque and his sister-in-law were murdered in Kolkata. At least eight places were connected to fire by evening. Thirty houses were gutted and at least ten people were burnt to death.</v>
      </c>
      <c r="D2449" s="7"/>
      <c r="E2449" s="7"/>
      <c r="F2449" s="5"/>
      <c r="G2449" s="5"/>
      <c r="H2449" s="5"/>
      <c r="I2449" s="5"/>
      <c r="J2449" s="5"/>
      <c r="K2449" s="5"/>
      <c r="L2449" s="5"/>
      <c r="M2449" s="5"/>
      <c r="N2449" s="5"/>
      <c r="O2449" s="5"/>
      <c r="P2449" s="5"/>
      <c r="Q2449" s="5"/>
      <c r="R2449" s="5"/>
      <c r="S2449" s="5"/>
      <c r="T2449" s="5"/>
      <c r="U2449" s="5"/>
      <c r="V2449" s="5"/>
      <c r="W2449" s="5"/>
      <c r="X2449" s="5"/>
      <c r="Y2449" s="5"/>
      <c r="Z2449" s="5"/>
    </row>
    <row r="2450" spans="1:26" ht="15.6" x14ac:dyDescent="0.3">
      <c r="A2450" s="18" t="s">
        <v>5</v>
      </c>
      <c r="B2450" s="24" t="s">
        <v>2445</v>
      </c>
      <c r="C2450" s="2" t="str">
        <f ca="1">IFERROR(__xludf.DUMMYFUNCTION("GOOGLETRANSLATE(B2450, ""bn"", ""en"")"),"Police opened fire on a religious community protest, killing 22 people.")</f>
        <v>Police opened fire on a religious community protest, killing 22 people.</v>
      </c>
      <c r="D2450" s="5"/>
      <c r="E2450" s="5"/>
      <c r="F2450" s="5"/>
      <c r="G2450" s="5"/>
      <c r="H2450" s="5"/>
      <c r="I2450" s="5"/>
      <c r="J2450" s="5"/>
      <c r="K2450" s="5"/>
      <c r="L2450" s="5"/>
      <c r="M2450" s="5"/>
      <c r="N2450" s="5"/>
      <c r="O2450" s="5"/>
      <c r="P2450" s="5"/>
      <c r="Q2450" s="5"/>
      <c r="R2450" s="5"/>
      <c r="S2450" s="5"/>
      <c r="T2450" s="5"/>
      <c r="U2450" s="5"/>
      <c r="V2450" s="5"/>
      <c r="W2450" s="5"/>
      <c r="X2450" s="5"/>
      <c r="Y2450" s="5"/>
      <c r="Z2450" s="5"/>
    </row>
    <row r="2451" spans="1:26" ht="15.6" x14ac:dyDescent="0.3">
      <c r="A2451" s="18" t="s">
        <v>8</v>
      </c>
      <c r="B2451" s="24" t="s">
        <v>2446</v>
      </c>
      <c r="C2451" s="2" t="str">
        <f ca="1">IFERROR(__xludf.DUMMYFUNCTION("GOOGLETRANSLATE(B2451, ""bn"", ""en"")"),"13 November 2024 Miscreants defaced the faces of idols in an old Ramthakur ashram at Pakundia in Kishoreganj.")</f>
        <v>13 November 2024 Miscreants defaced the faces of idols in an old Ramthakur ashram at Pakundia in Kishoreganj.</v>
      </c>
      <c r="D2451" s="5"/>
      <c r="E2451" s="5"/>
      <c r="F2451" s="5"/>
      <c r="G2451" s="5"/>
      <c r="H2451" s="5"/>
      <c r="I2451" s="5"/>
      <c r="J2451" s="5"/>
      <c r="K2451" s="5"/>
      <c r="L2451" s="5"/>
      <c r="M2451" s="5"/>
      <c r="N2451" s="5"/>
      <c r="O2451" s="5"/>
      <c r="P2451" s="5"/>
      <c r="Q2451" s="5"/>
      <c r="R2451" s="5"/>
      <c r="S2451" s="5"/>
      <c r="T2451" s="5"/>
      <c r="U2451" s="5"/>
      <c r="V2451" s="5"/>
      <c r="W2451" s="5"/>
      <c r="X2451" s="5"/>
      <c r="Y2451" s="5"/>
      <c r="Z2451" s="5"/>
    </row>
    <row r="2452" spans="1:26" ht="15.6" x14ac:dyDescent="0.3">
      <c r="A2452" s="19" t="s">
        <v>3</v>
      </c>
      <c r="B2452" s="26" t="s">
        <v>2447</v>
      </c>
      <c r="C2452" s="2" t="str">
        <f ca="1">IFERROR(__xludf.DUMMYFUNCTION("GOOGLETRANSLATE(B2452, ""bn"", ""en"")"),"Assalamu Alaikum Allahu Akbar, may the echo of Allahu Akbar reach the throne of Allah and may the victory begin. Alhamdulillah subhanallah Islam is the best religion of the world. One day, by the grace of Allah, the flag of Kalema will be in the sky of th"&amp;"is country. On the day of flying, everyone will forget the sorrow and pain by receiving God's decree, Insha'Allah")</f>
        <v>Assalamu Alaikum Allahu Akbar, may the echo of Allahu Akbar reach the throne of Allah and may the victory begin. Alhamdulillah subhanallah Islam is the best religion of the world. One day, by the grace of Allah, the flag of Kalema will be in the sky of this country. On the day of flying, everyone will forget the sorrow and pain by receiving God's decree, Insha'Allah</v>
      </c>
      <c r="D2452" s="7"/>
      <c r="E2452" s="7"/>
      <c r="F2452" s="7"/>
      <c r="G2452" s="7"/>
      <c r="H2452" s="7"/>
      <c r="I2452" s="7"/>
      <c r="J2452" s="7"/>
      <c r="K2452" s="7"/>
      <c r="L2452" s="7"/>
      <c r="M2452" s="5"/>
      <c r="N2452" s="5"/>
      <c r="O2452" s="5"/>
      <c r="P2452" s="5"/>
      <c r="Q2452" s="5"/>
      <c r="R2452" s="5"/>
      <c r="S2452" s="5"/>
      <c r="T2452" s="5"/>
      <c r="U2452" s="5"/>
      <c r="V2452" s="5"/>
      <c r="W2452" s="5"/>
      <c r="X2452" s="5"/>
      <c r="Y2452" s="5"/>
      <c r="Z2452" s="5"/>
    </row>
    <row r="2453" spans="1:26" ht="15.6" x14ac:dyDescent="0.3">
      <c r="A2453" s="18" t="s">
        <v>3</v>
      </c>
      <c r="B2453" s="25" t="s">
        <v>2448</v>
      </c>
      <c r="C2453" s="2" t="str">
        <f ca="1">IFERROR(__xludf.DUMMYFUNCTION("GOOGLETRANSLATE(B2453, ""bn"", ""en"")"),"Almighty Allah said, ""Surely I sent it down on 'Lailatul Qadr.' Do you know what is the night of Qadr? The Night of Qadr is better than a thousand months. On this night the angels and Ruh (Jibril) descend with all decisions by the permission of their Lor"&amp;"d. (This night prevails) in peace and tranquility - until dawn.' (Surah Qadr)")</f>
        <v>Almighty Allah said, "Surely I sent it down on 'Lailatul Qadr.' Do you know what is the night of Qadr? The Night of Qadr is better than a thousand months. On this night the angels and Ruh (Jibril) descend with all decisions by the permission of their Lord. (This night prevails) in peace and tranquility - until dawn.' (Surah Qadr)</v>
      </c>
      <c r="D2453" s="5"/>
      <c r="E2453" s="5"/>
      <c r="F2453" s="5"/>
      <c r="G2453" s="5"/>
      <c r="H2453" s="5"/>
      <c r="I2453" s="5"/>
      <c r="J2453" s="5"/>
      <c r="K2453" s="5"/>
      <c r="L2453" s="5"/>
      <c r="M2453" s="5"/>
      <c r="N2453" s="5"/>
      <c r="O2453" s="5"/>
      <c r="P2453" s="5"/>
      <c r="Q2453" s="5"/>
      <c r="R2453" s="5"/>
      <c r="S2453" s="5"/>
      <c r="T2453" s="5"/>
      <c r="U2453" s="5"/>
      <c r="V2453" s="5"/>
      <c r="W2453" s="5"/>
      <c r="X2453" s="5"/>
      <c r="Y2453" s="5"/>
      <c r="Z2453" s="5"/>
    </row>
    <row r="2454" spans="1:26" ht="15.6" x14ac:dyDescent="0.3">
      <c r="A2454" s="18" t="s">
        <v>5</v>
      </c>
      <c r="B2454" s="24" t="s">
        <v>2449</v>
      </c>
      <c r="C2454" s="2" t="str">
        <f ca="1">IFERROR(__xludf.DUMMYFUNCTION("GOOGLETRANSLATE(B2454, ""bn"", ""en"")"),"In January 2020, a group of religious extremists banned girls from playing sports, killing 14 people in violence against those who went to play.")</f>
        <v>In January 2020, a group of religious extremists banned girls from playing sports, killing 14 people in violence against those who went to play.</v>
      </c>
      <c r="D2454" s="5"/>
      <c r="E2454" s="5"/>
      <c r="F2454" s="5"/>
      <c r="G2454" s="5"/>
      <c r="H2454" s="5"/>
      <c r="I2454" s="5"/>
      <c r="J2454" s="5"/>
      <c r="K2454" s="5"/>
      <c r="L2454" s="5"/>
      <c r="M2454" s="5"/>
      <c r="N2454" s="5"/>
      <c r="O2454" s="5"/>
      <c r="P2454" s="5"/>
      <c r="Q2454" s="5"/>
      <c r="R2454" s="5"/>
      <c r="S2454" s="5"/>
      <c r="T2454" s="5"/>
      <c r="U2454" s="5"/>
      <c r="V2454" s="5"/>
      <c r="W2454" s="5"/>
      <c r="X2454" s="5"/>
      <c r="Y2454" s="5"/>
      <c r="Z2454" s="5"/>
    </row>
    <row r="2455" spans="1:26" ht="15.6" x14ac:dyDescent="0.3">
      <c r="A2455" s="18" t="s">
        <v>5</v>
      </c>
      <c r="B2455" s="24" t="s">
        <v>2450</v>
      </c>
      <c r="C2455" s="2" t="str">
        <f ca="1">IFERROR(__xludf.DUMMYFUNCTION("GOOGLETRANSLATE(B2455, ""bn"", ""en"")"),"At least 41 people were killed in attacks on minorities in Pabna due to religious extremism. The attackers burnt houses and temples.")</f>
        <v>At least 41 people were killed in attacks on minorities in Pabna due to religious extremism. The attackers burnt houses and temples.</v>
      </c>
      <c r="D2455" s="5"/>
      <c r="E2455" s="5"/>
      <c r="F2455" s="5"/>
      <c r="G2455" s="5"/>
      <c r="H2455" s="5"/>
      <c r="I2455" s="5"/>
      <c r="J2455" s="5"/>
      <c r="K2455" s="5"/>
      <c r="L2455" s="5"/>
      <c r="M2455" s="5"/>
      <c r="N2455" s="5"/>
      <c r="O2455" s="5"/>
      <c r="P2455" s="5"/>
      <c r="Q2455" s="5"/>
      <c r="R2455" s="5"/>
      <c r="S2455" s="5"/>
      <c r="T2455" s="5"/>
      <c r="U2455" s="5"/>
      <c r="V2455" s="5"/>
      <c r="W2455" s="5"/>
      <c r="X2455" s="5"/>
      <c r="Y2455" s="5"/>
      <c r="Z2455" s="5"/>
    </row>
    <row r="2456" spans="1:26" ht="15.6" x14ac:dyDescent="0.3">
      <c r="A2456" s="19" t="s">
        <v>8</v>
      </c>
      <c r="B2456" s="26" t="s">
        <v>2451</v>
      </c>
      <c r="C2456" s="2" t="str">
        <f ca="1">IFERROR(__xludf.DUMMYFUNCTION("GOOGLETRANSLATE(B2456, ""bn"", ""en"")"),"In Mymensingh, a group of teenagers tore up the Holy Gita and took pictures of it and spread it on Tiktok.")</f>
        <v>In Mymensingh, a group of teenagers tore up the Holy Gita and took pictures of it and spread it on Tiktok.</v>
      </c>
      <c r="D2456" s="5"/>
      <c r="E2456" s="5"/>
      <c r="F2456" s="5"/>
      <c r="G2456" s="5"/>
      <c r="H2456" s="5"/>
      <c r="I2456" s="5"/>
      <c r="J2456" s="5"/>
      <c r="K2456" s="5"/>
      <c r="L2456" s="5"/>
      <c r="M2456" s="5"/>
      <c r="N2456" s="5"/>
      <c r="O2456" s="5"/>
      <c r="P2456" s="5"/>
      <c r="Q2456" s="5"/>
      <c r="R2456" s="5"/>
      <c r="S2456" s="5"/>
      <c r="T2456" s="5"/>
      <c r="U2456" s="5"/>
      <c r="V2456" s="5"/>
      <c r="W2456" s="5"/>
      <c r="X2456" s="5"/>
      <c r="Y2456" s="5"/>
      <c r="Z2456" s="5"/>
    </row>
    <row r="2457" spans="1:26" ht="15.6" x14ac:dyDescent="0.3">
      <c r="A2457" s="18" t="s">
        <v>3</v>
      </c>
      <c r="B2457" s="25" t="s">
        <v>2452</v>
      </c>
      <c r="C2457" s="2" t="str">
        <f ca="1">IFERROR(__xludf.DUMMYFUNCTION("GOOGLETRANSLATE(B2457, ""bn"", ""en"")"),"William Carey translated the Bible into Bengali in 1809. During the renaissance, many educated Bengalis were attracted to Christian ideals and peacefully converted to Christianity.")</f>
        <v>William Carey translated the Bible into Bengali in 1809. During the renaissance, many educated Bengalis were attracted to Christian ideals and peacefully converted to Christianity.</v>
      </c>
      <c r="D2457" s="5"/>
      <c r="E2457" s="5"/>
      <c r="F2457" s="5"/>
      <c r="G2457" s="5"/>
      <c r="H2457" s="5"/>
      <c r="I2457" s="5"/>
      <c r="J2457" s="5"/>
      <c r="K2457" s="5"/>
      <c r="L2457" s="5"/>
      <c r="M2457" s="5"/>
      <c r="N2457" s="5"/>
      <c r="O2457" s="5"/>
      <c r="P2457" s="5"/>
      <c r="Q2457" s="5"/>
      <c r="R2457" s="5"/>
      <c r="S2457" s="5"/>
      <c r="T2457" s="5"/>
      <c r="U2457" s="5"/>
      <c r="V2457" s="5"/>
      <c r="W2457" s="5"/>
      <c r="X2457" s="5"/>
      <c r="Y2457" s="5"/>
      <c r="Z2457" s="5"/>
    </row>
    <row r="2458" spans="1:26" ht="15.6" x14ac:dyDescent="0.3">
      <c r="A2458" s="19" t="s">
        <v>5</v>
      </c>
      <c r="B2458" s="26" t="s">
        <v>2453</v>
      </c>
      <c r="C2458" s="2" t="str">
        <f ca="1">IFERROR(__xludf.DUMMYFUNCTION("GOOGLETRANSLATE(B2458, ""bn"", ""en"")"),"The Rajshahi massacre of 1962 refers to the mass killing of local Hindus, Buddhists, and Santals in Rajshahi and Pabna districts in April 1962. [1][2] Mainly, property and girls of Hindus were attacked. [3] More than three thousand non-Muslims were killed"&amp;" in this massacre.")</f>
        <v>The Rajshahi massacre of 1962 refers to the mass killing of local Hindus, Buddhists, and Santals in Rajshahi and Pabna districts in April 1962. [1][2] Mainly, property and girls of Hindus were attacked. [3] More than three thousand non-Muslims were killed in this massacre.</v>
      </c>
      <c r="D2458" s="7"/>
      <c r="E2458" s="7"/>
      <c r="F2458" s="7"/>
      <c r="G2458" s="7"/>
      <c r="H2458" s="7"/>
      <c r="I2458" s="5"/>
      <c r="J2458" s="5"/>
      <c r="K2458" s="5"/>
      <c r="L2458" s="5"/>
      <c r="M2458" s="5"/>
      <c r="N2458" s="5"/>
      <c r="O2458" s="5"/>
      <c r="P2458" s="5"/>
      <c r="Q2458" s="5"/>
      <c r="R2458" s="5"/>
      <c r="S2458" s="5"/>
      <c r="T2458" s="5"/>
      <c r="U2458" s="5"/>
      <c r="V2458" s="5"/>
      <c r="W2458" s="5"/>
      <c r="X2458" s="5"/>
      <c r="Y2458" s="5"/>
      <c r="Z2458" s="5"/>
    </row>
    <row r="2459" spans="1:26" ht="15.6" x14ac:dyDescent="0.3">
      <c r="A2459" s="18" t="s">
        <v>5</v>
      </c>
      <c r="B2459" s="24" t="s">
        <v>2454</v>
      </c>
      <c r="C2459" s="2" t="str">
        <f ca="1">IFERROR(__xludf.DUMMYFUNCTION("GOOGLETRANSLATE(B2459, ""bn"", ""en"")"),"A series of physical abuse and sexual violence against orphans in a religious monastery resulted in the death of 15 children.")</f>
        <v>A series of physical abuse and sexual violence against orphans in a religious monastery resulted in the death of 15 children.</v>
      </c>
      <c r="D2459" s="5"/>
      <c r="E2459" s="5"/>
      <c r="F2459" s="5"/>
      <c r="G2459" s="5"/>
      <c r="H2459" s="5"/>
      <c r="I2459" s="5"/>
      <c r="J2459" s="5"/>
      <c r="K2459" s="5"/>
      <c r="L2459" s="5"/>
      <c r="M2459" s="5"/>
      <c r="N2459" s="5"/>
      <c r="O2459" s="5"/>
      <c r="P2459" s="5"/>
      <c r="Q2459" s="5"/>
      <c r="R2459" s="5"/>
      <c r="S2459" s="5"/>
      <c r="T2459" s="5"/>
      <c r="U2459" s="5"/>
      <c r="V2459" s="5"/>
      <c r="W2459" s="5"/>
      <c r="X2459" s="5"/>
      <c r="Y2459" s="5"/>
      <c r="Z2459" s="5"/>
    </row>
    <row r="2460" spans="1:26" ht="15.6" x14ac:dyDescent="0.3">
      <c r="A2460" s="18" t="s">
        <v>5</v>
      </c>
      <c r="B2460" s="25" t="s">
        <v>2455</v>
      </c>
      <c r="C2460" s="2" t="str">
        <f ca="1">IFERROR(__xludf.DUMMYFUNCTION("GOOGLETRANSLATE(B2460, ""bn"", ""en"")"),"Many lives have been lost as a result of the Taliban's implementation of strict Sharia law, particularly the repression of women.")</f>
        <v>Many lives have been lost as a result of the Taliban's implementation of strict Sharia law, particularly the repression of women.</v>
      </c>
      <c r="D2460" s="7"/>
      <c r="E2460" s="5"/>
      <c r="F2460" s="5"/>
      <c r="G2460" s="5"/>
      <c r="H2460" s="5"/>
      <c r="I2460" s="5"/>
      <c r="J2460" s="5"/>
      <c r="K2460" s="5"/>
      <c r="L2460" s="5"/>
      <c r="M2460" s="5"/>
      <c r="N2460" s="5"/>
      <c r="O2460" s="5"/>
      <c r="P2460" s="5"/>
      <c r="Q2460" s="5"/>
      <c r="R2460" s="5"/>
      <c r="S2460" s="5"/>
      <c r="T2460" s="5"/>
      <c r="U2460" s="5"/>
      <c r="V2460" s="5"/>
      <c r="W2460" s="5"/>
      <c r="X2460" s="5"/>
      <c r="Y2460" s="5"/>
      <c r="Z2460" s="5"/>
    </row>
    <row r="2461" spans="1:26" ht="15.6" x14ac:dyDescent="0.3">
      <c r="A2461" s="19" t="s">
        <v>5</v>
      </c>
      <c r="B2461" s="26" t="s">
        <v>2456</v>
      </c>
      <c r="C2461" s="2" t="str">
        <f ca="1">IFERROR(__xludf.DUMMYFUNCTION("GOOGLETRANSLATE(B2461, ""bn"", ""en"")"),"Between 1535 and 1681 the English government executed over 300 Roman Catholics for treason, thus imputing them to secular rather than religious offences. The death penalty was officially given.")</f>
        <v>Between 1535 and 1681 the English government executed over 300 Roman Catholics for treason, thus imputing them to secular rather than religious offences. The death penalty was officially given.</v>
      </c>
      <c r="D2461" s="5"/>
      <c r="E2461" s="5"/>
      <c r="F2461" s="5"/>
      <c r="G2461" s="5"/>
      <c r="H2461" s="5"/>
      <c r="I2461" s="5"/>
      <c r="J2461" s="5"/>
      <c r="K2461" s="5"/>
      <c r="L2461" s="5"/>
      <c r="M2461" s="5"/>
      <c r="N2461" s="5"/>
      <c r="O2461" s="5"/>
      <c r="P2461" s="5"/>
      <c r="Q2461" s="5"/>
      <c r="R2461" s="5"/>
      <c r="S2461" s="5"/>
      <c r="T2461" s="5"/>
      <c r="U2461" s="5"/>
      <c r="V2461" s="5"/>
      <c r="W2461" s="5"/>
      <c r="X2461" s="5"/>
      <c r="Y2461" s="5"/>
      <c r="Z2461" s="5"/>
    </row>
    <row r="2462" spans="1:26" ht="15.6" x14ac:dyDescent="0.3">
      <c r="A2462" s="18" t="s">
        <v>3</v>
      </c>
      <c r="B2462" s="25" t="s">
        <v>2457</v>
      </c>
      <c r="C2462" s="2" t="str">
        <f ca="1">IFERROR(__xludf.DUMMYFUNCTION("GOOGLETRANSLATE(B2462, ""bn"", ""en"")"),"Many Catholic Bengalis use Portuguese surnames for Christian names. As Bengali Muslims use Arabic and Persian names, so do Bengali Christians.")</f>
        <v>Many Catholic Bengalis use Portuguese surnames for Christian names. As Bengali Muslims use Arabic and Persian names, so do Bengali Christians.</v>
      </c>
      <c r="D2462" s="5"/>
      <c r="E2462" s="5"/>
      <c r="F2462" s="5"/>
      <c r="G2462" s="5"/>
      <c r="H2462" s="5"/>
      <c r="I2462" s="5"/>
      <c r="J2462" s="5"/>
      <c r="K2462" s="5"/>
      <c r="L2462" s="5"/>
      <c r="M2462" s="5"/>
      <c r="N2462" s="5"/>
      <c r="O2462" s="5"/>
      <c r="P2462" s="5"/>
      <c r="Q2462" s="5"/>
      <c r="R2462" s="5"/>
      <c r="S2462" s="5"/>
      <c r="T2462" s="5"/>
      <c r="U2462" s="5"/>
      <c r="V2462" s="5"/>
      <c r="W2462" s="5"/>
      <c r="X2462" s="5"/>
      <c r="Y2462" s="5"/>
      <c r="Z2462" s="5"/>
    </row>
    <row r="2463" spans="1:26" ht="15.6" x14ac:dyDescent="0.3">
      <c r="A2463" s="18" t="s">
        <v>23</v>
      </c>
      <c r="B2463" s="24" t="s">
        <v>2458</v>
      </c>
      <c r="C2463" s="2" t="str">
        <f ca="1">IFERROR(__xludf.DUMMYFUNCTION("GOOGLETRANSLATE(B2463, ""bn"", ""en"")"),"Some members of the Buddhist community harbor hostile attitudes against other religions in the society which creates social unrest.")</f>
        <v>Some members of the Buddhist community harbor hostile attitudes against other religions in the society which creates social unrest.</v>
      </c>
      <c r="D2463" s="5"/>
      <c r="E2463" s="5"/>
      <c r="F2463" s="5"/>
      <c r="G2463" s="5"/>
      <c r="H2463" s="5"/>
      <c r="I2463" s="5"/>
      <c r="J2463" s="5"/>
      <c r="K2463" s="5"/>
      <c r="L2463" s="5"/>
      <c r="M2463" s="5"/>
      <c r="N2463" s="5"/>
      <c r="O2463" s="5"/>
      <c r="P2463" s="5"/>
      <c r="Q2463" s="5"/>
      <c r="R2463" s="5"/>
      <c r="S2463" s="5"/>
      <c r="T2463" s="5"/>
      <c r="U2463" s="5"/>
      <c r="V2463" s="5"/>
      <c r="W2463" s="5"/>
      <c r="X2463" s="5"/>
      <c r="Y2463" s="5"/>
      <c r="Z2463" s="5"/>
    </row>
    <row r="2464" spans="1:26" ht="15.6" x14ac:dyDescent="0.3">
      <c r="A2464" s="19" t="s">
        <v>8</v>
      </c>
      <c r="B2464" s="26" t="s">
        <v>2459</v>
      </c>
      <c r="C2464" s="2" t="str">
        <f ca="1">IFERROR(__xludf.DUMMYFUNCTION("GOOGLETRANSLATE(B2464, ""bn"", ""en"")"),"He came down with a few villagers to quell the riots and himself was assigned to guard the asylum seekers at gunpoint. On February 18, the rioters came in groups to attack. Altafuddin fired blanks to repel them. The miscreants saw him from a distance and "&amp;"threw a ball. Altafuddin was pierced by it and fell to the ground, they killed him.")</f>
        <v>He came down with a few villagers to quell the riots and himself was assigned to guard the asylum seekers at gunpoint. On February 18, the rioters came in groups to attack. Altafuddin fired blanks to repel them. The miscreants saw him from a distance and threw a ball. Altafuddin was pierced by it and fell to the ground, they killed him.</v>
      </c>
      <c r="D2464" s="7"/>
      <c r="E2464" s="7"/>
      <c r="F2464" s="7"/>
      <c r="G2464" s="7"/>
      <c r="H2464" s="7"/>
      <c r="I2464" s="7"/>
      <c r="J2464" s="7"/>
      <c r="K2464" s="7"/>
      <c r="L2464" s="7"/>
      <c r="M2464" s="7"/>
      <c r="N2464" s="7"/>
      <c r="O2464" s="7"/>
      <c r="P2464" s="7"/>
      <c r="Q2464" s="5"/>
      <c r="R2464" s="5"/>
      <c r="S2464" s="5"/>
      <c r="T2464" s="5"/>
      <c r="U2464" s="5"/>
      <c r="V2464" s="5"/>
      <c r="W2464" s="5"/>
      <c r="X2464" s="5"/>
      <c r="Y2464" s="5"/>
      <c r="Z2464" s="5"/>
    </row>
    <row r="2465" spans="1:26" ht="15.6" x14ac:dyDescent="0.3">
      <c r="A2465" s="19" t="s">
        <v>3</v>
      </c>
      <c r="B2465" s="26" t="s">
        <v>2460</v>
      </c>
      <c r="C2465" s="2" t="str">
        <f ca="1">IFERROR(__xludf.DUMMYFUNCTION("GOOGLETRANSLATE(B2465, ""bn"", ""en"")"),"Thousands of Hindus took shelter in Barisal's Brahmandia village, where District Muslim League vice-president Altafuddin Mohammad rescued them.")</f>
        <v>Thousands of Hindus took shelter in Barisal's Brahmandia village, where District Muslim League vice-president Altafuddin Mohammad rescued them.</v>
      </c>
      <c r="D2465" s="7"/>
      <c r="E2465" s="7"/>
      <c r="F2465" s="7"/>
      <c r="G2465" s="7"/>
      <c r="H2465" s="7"/>
      <c r="I2465" s="7"/>
      <c r="J2465" s="7"/>
      <c r="K2465" s="5"/>
      <c r="L2465" s="5"/>
      <c r="M2465" s="5"/>
      <c r="N2465" s="5"/>
      <c r="O2465" s="5"/>
      <c r="P2465" s="5"/>
      <c r="Q2465" s="5"/>
      <c r="R2465" s="5"/>
      <c r="S2465" s="5"/>
      <c r="T2465" s="5"/>
      <c r="U2465" s="5"/>
      <c r="V2465" s="5"/>
      <c r="W2465" s="5"/>
      <c r="X2465" s="5"/>
      <c r="Y2465" s="5"/>
      <c r="Z2465" s="5"/>
    </row>
    <row r="2466" spans="1:26" ht="15.6" x14ac:dyDescent="0.3">
      <c r="A2466" s="18" t="s">
        <v>23</v>
      </c>
      <c r="B2466" s="25" t="s">
        <v>2461</v>
      </c>
      <c r="C2466" s="2" t="str">
        <f ca="1">IFERROR(__xludf.DUMMYFUNCTION("GOOGLETRANSLATE(B2466, ""bn"", ""en"")"),"Written testimonies were kept from forced converts to Islam stating that they converted voluntarily. They were confined to a particular house or house and were allowed to enter that particular house when an official inspection team came to visit.")</f>
        <v>Written testimonies were kept from forced converts to Islam stating that they converted voluntarily. They were confined to a particular house or house and were allowed to enter that particular house when an official inspection team came to visit.</v>
      </c>
      <c r="D2466" s="2"/>
      <c r="E2466" s="2"/>
      <c r="F2466" s="2"/>
      <c r="G2466" s="2"/>
      <c r="H2466" s="3"/>
      <c r="I2466" s="3"/>
      <c r="J2466" s="3"/>
      <c r="K2466" s="3"/>
      <c r="L2466" s="3"/>
      <c r="M2466" s="3"/>
      <c r="N2466" s="3"/>
      <c r="O2466" s="3"/>
      <c r="P2466" s="3"/>
      <c r="Q2466" s="3"/>
      <c r="R2466" s="3"/>
      <c r="S2466" s="3"/>
      <c r="T2466" s="3"/>
      <c r="U2466" s="3"/>
      <c r="V2466" s="3"/>
      <c r="W2466" s="3"/>
      <c r="X2466" s="3"/>
      <c r="Y2466" s="3"/>
      <c r="Z2466" s="3"/>
    </row>
    <row r="2467" spans="1:26" ht="15.6" x14ac:dyDescent="0.3">
      <c r="A2467" s="18" t="s">
        <v>8</v>
      </c>
      <c r="B2467" s="25" t="s">
        <v>2462</v>
      </c>
      <c r="C2467" s="2" t="str">
        <f ca="1">IFERROR(__xludf.DUMMYFUNCTION("GOOGLETRANSLATE(B2467, ""bn"", ""en"")"),"Attacks on minorities continue, temples vandalized in Pirojpur village")</f>
        <v>Attacks on minorities continue, temples vandalized in Pirojpur village</v>
      </c>
      <c r="D2467" s="5"/>
      <c r="E2467" s="5"/>
      <c r="F2467" s="5"/>
      <c r="G2467" s="5"/>
      <c r="H2467" s="5"/>
      <c r="I2467" s="5"/>
      <c r="J2467" s="5"/>
      <c r="K2467" s="5"/>
      <c r="L2467" s="5"/>
      <c r="M2467" s="5"/>
      <c r="N2467" s="5"/>
      <c r="O2467" s="5"/>
      <c r="P2467" s="5"/>
      <c r="Q2467" s="5"/>
      <c r="R2467" s="5"/>
      <c r="S2467" s="5"/>
      <c r="T2467" s="5"/>
      <c r="U2467" s="5"/>
      <c r="V2467" s="5"/>
      <c r="W2467" s="5"/>
      <c r="X2467" s="5"/>
      <c r="Y2467" s="5"/>
      <c r="Z2467" s="5"/>
    </row>
    <row r="2468" spans="1:26" ht="15.6" x14ac:dyDescent="0.3">
      <c r="A2468" s="19" t="s">
        <v>8</v>
      </c>
      <c r="B2468" s="26" t="s">
        <v>2463</v>
      </c>
      <c r="C2468" s="2" t="str">
        <f ca="1">IFERROR(__xludf.DUMMYFUNCTION("GOOGLETRANSLATE(B2468, ""bn"", ""en"")"),"An unidentified youth posted a picture of a religious book being torn and stepped on at a secluded temple in Munshiganj.")</f>
        <v>An unidentified youth posted a picture of a religious book being torn and stepped on at a secluded temple in Munshiganj.</v>
      </c>
      <c r="D2468" s="5"/>
      <c r="E2468" s="5"/>
      <c r="F2468" s="5"/>
      <c r="G2468" s="5"/>
      <c r="H2468" s="5"/>
      <c r="I2468" s="5"/>
      <c r="J2468" s="5"/>
      <c r="K2468" s="5"/>
      <c r="L2468" s="5"/>
      <c r="M2468" s="5"/>
      <c r="N2468" s="5"/>
      <c r="O2468" s="5"/>
      <c r="P2468" s="5"/>
      <c r="Q2468" s="5"/>
      <c r="R2468" s="5"/>
      <c r="S2468" s="5"/>
      <c r="T2468" s="5"/>
      <c r="U2468" s="5"/>
      <c r="V2468" s="5"/>
      <c r="W2468" s="5"/>
      <c r="X2468" s="5"/>
      <c r="Y2468" s="5"/>
      <c r="Z2468" s="5"/>
    </row>
    <row r="2469" spans="1:26" ht="15.6" x14ac:dyDescent="0.3">
      <c r="A2469" s="18" t="s">
        <v>5</v>
      </c>
      <c r="B2469" s="24" t="s">
        <v>2464</v>
      </c>
      <c r="C2469" s="2" t="str">
        <f ca="1">IFERROR(__xludf.DUMMYFUNCTION("GOOGLETRANSLATE(B2469, ""bn"", ""en"")"),"In March 2017, a group of religious extremists banned girls from the sport; 13 people were killed in violence against sports participants.")</f>
        <v>In March 2017, a group of religious extremists banned girls from the sport; 13 people were killed in violence against sports participants.</v>
      </c>
      <c r="D2469" s="5"/>
      <c r="E2469" s="5"/>
      <c r="F2469" s="5"/>
      <c r="G2469" s="5"/>
      <c r="H2469" s="5"/>
      <c r="I2469" s="5"/>
      <c r="J2469" s="5"/>
      <c r="K2469" s="5"/>
      <c r="L2469" s="5"/>
      <c r="M2469" s="5"/>
      <c r="N2469" s="5"/>
      <c r="O2469" s="5"/>
      <c r="P2469" s="5"/>
      <c r="Q2469" s="5"/>
      <c r="R2469" s="5"/>
      <c r="S2469" s="5"/>
      <c r="T2469" s="5"/>
      <c r="U2469" s="5"/>
      <c r="V2469" s="5"/>
      <c r="W2469" s="5"/>
      <c r="X2469" s="5"/>
      <c r="Y2469" s="5"/>
      <c r="Z2469" s="5"/>
    </row>
    <row r="2470" spans="1:26" ht="15.6" x14ac:dyDescent="0.3">
      <c r="A2470" s="18" t="s">
        <v>3</v>
      </c>
      <c r="B2470" s="25" t="s">
        <v>2465</v>
      </c>
      <c r="C2470" s="2" t="str">
        <f ca="1">IFERROR(__xludf.DUMMYFUNCTION("GOOGLETRANSLATE(B2470, ""bn"", ""en"")"),"MashaAllah, SubhanAllah, Alhamdulillah, Allahu Akbar I left it in the cottage of the heart. I have not seen Jannat with my own eyes, but every image of his imagination has been shaken in my mind today after listening to the words. May Allah bless you with"&amp;" good life, Ameen.")</f>
        <v>MashaAllah, SubhanAllah, Alhamdulillah, Allahu Akbar I left it in the cottage of the heart. I have not seen Jannat with my own eyes, but every image of his imagination has been shaken in my mind today after listening to the words. May Allah bless you with good life, Ameen.</v>
      </c>
      <c r="D2470" s="5"/>
      <c r="E2470" s="5"/>
      <c r="F2470" s="5"/>
      <c r="G2470" s="5"/>
      <c r="H2470" s="5"/>
      <c r="I2470" s="5"/>
      <c r="J2470" s="5"/>
      <c r="K2470" s="5"/>
      <c r="L2470" s="5"/>
      <c r="M2470" s="5"/>
      <c r="N2470" s="5"/>
      <c r="O2470" s="5"/>
      <c r="P2470" s="5"/>
      <c r="Q2470" s="5"/>
      <c r="R2470" s="5"/>
      <c r="S2470" s="5"/>
      <c r="T2470" s="5"/>
      <c r="U2470" s="5"/>
      <c r="V2470" s="5"/>
      <c r="W2470" s="5"/>
      <c r="X2470" s="5"/>
      <c r="Y2470" s="5"/>
      <c r="Z2470" s="5"/>
    </row>
    <row r="2471" spans="1:26" ht="15.6" x14ac:dyDescent="0.3">
      <c r="A2471" s="18" t="s">
        <v>5</v>
      </c>
      <c r="B2471" s="25" t="s">
        <v>2466</v>
      </c>
      <c r="C2471" s="2" t="str">
        <f ca="1">IFERROR(__xludf.DUMMYFUNCTION("GOOGLETRANSLATE(B2471, ""bn"", ""en"")"),"Govinda Chandra Pramanik said in a written statement that 154 people from minority communities including Hindus have been killed in the last one year. 849 people have been threatened to kill, 424 people have been attempted to kill and 360 people have been"&amp;" injured, 62 people are missing, 27 crore 46 lakh 33 thousand taka has been extorted.")</f>
        <v>Govinda Chandra Pramanik said in a written statement that 154 people from minority communities including Hindus have been killed in the last one year. 849 people have been threatened to kill, 424 people have been attempted to kill and 360 people have been injured, 62 people are missing, 27 crore 46 lakh 33 thousand taka has been extorted.</v>
      </c>
      <c r="D2471" s="5"/>
      <c r="E2471" s="5"/>
      <c r="F2471" s="5"/>
      <c r="G2471" s="5"/>
      <c r="H2471" s="5"/>
      <c r="I2471" s="5"/>
      <c r="J2471" s="5"/>
      <c r="K2471" s="5"/>
      <c r="L2471" s="5"/>
      <c r="M2471" s="5"/>
      <c r="N2471" s="5"/>
      <c r="O2471" s="5"/>
      <c r="P2471" s="5"/>
      <c r="Q2471" s="5"/>
      <c r="R2471" s="5"/>
      <c r="S2471" s="5"/>
      <c r="T2471" s="5"/>
      <c r="U2471" s="5"/>
      <c r="V2471" s="5"/>
      <c r="W2471" s="5"/>
      <c r="X2471" s="5"/>
      <c r="Y2471" s="5"/>
      <c r="Z2471" s="5"/>
    </row>
    <row r="2472" spans="1:26" ht="15.6" x14ac:dyDescent="0.3">
      <c r="A2472" s="18" t="s">
        <v>8</v>
      </c>
      <c r="B2472" s="25" t="s">
        <v>2467</v>
      </c>
      <c r="C2472" s="2" t="str">
        <f ca="1">IFERROR(__xludf.DUMMYFUNCTION("GOOGLETRANSLATE(B2472, ""bn"", ""en"")"),"Some people angered by the burning of the Quran attacked and vandalized an embassy in the early hours of Thursday morning, which is being considered as an example of religious sentiments and religious violence.")</f>
        <v>Some people angered by the burning of the Quran attacked and vandalized an embassy in the early hours of Thursday morning, which is being considered as an example of religious sentiments and religious violence.</v>
      </c>
      <c r="D2472" s="5"/>
      <c r="E2472" s="5"/>
      <c r="F2472" s="5"/>
      <c r="G2472" s="5"/>
      <c r="H2472" s="5"/>
      <c r="I2472" s="5"/>
      <c r="J2472" s="5"/>
      <c r="K2472" s="5"/>
      <c r="L2472" s="5"/>
      <c r="M2472" s="5"/>
      <c r="N2472" s="5"/>
      <c r="O2472" s="5"/>
      <c r="P2472" s="5"/>
      <c r="Q2472" s="5"/>
      <c r="R2472" s="5"/>
      <c r="S2472" s="5"/>
      <c r="T2472" s="5"/>
      <c r="U2472" s="5"/>
      <c r="V2472" s="5"/>
      <c r="W2472" s="5"/>
      <c r="X2472" s="5"/>
      <c r="Y2472" s="5"/>
      <c r="Z2472" s="5"/>
    </row>
    <row r="2473" spans="1:26" ht="15.6" x14ac:dyDescent="0.3">
      <c r="A2473" s="19" t="s">
        <v>23</v>
      </c>
      <c r="B2473" s="26" t="s">
        <v>2468</v>
      </c>
      <c r="C2473" s="2" t="str">
        <f ca="1">IFERROR(__xludf.DUMMYFUNCTION("GOOGLETRANSLATE(B2473, ""bn"", ""en"")"),"Some Muslims in the village used rhymes, slogans and incitement in mosques to spread Hindu hatred. Golam Sarwar and his followers prepare for violence.")</f>
        <v>Some Muslims in the village used rhymes, slogans and incitement in mosques to spread Hindu hatred. Golam Sarwar and his followers prepare for violence.</v>
      </c>
      <c r="D2473" s="7"/>
      <c r="E2473" s="7"/>
      <c r="F2473" s="7"/>
      <c r="G2473" s="7"/>
      <c r="H2473" s="7"/>
      <c r="I2473" s="7"/>
      <c r="J2473" s="5"/>
      <c r="K2473" s="5"/>
      <c r="L2473" s="5"/>
      <c r="M2473" s="5"/>
      <c r="N2473" s="5"/>
      <c r="O2473" s="5"/>
      <c r="P2473" s="5"/>
      <c r="Q2473" s="5"/>
      <c r="R2473" s="5"/>
      <c r="S2473" s="5"/>
      <c r="T2473" s="5"/>
      <c r="U2473" s="5"/>
      <c r="V2473" s="5"/>
      <c r="W2473" s="5"/>
      <c r="X2473" s="5"/>
      <c r="Y2473" s="5"/>
      <c r="Z2473" s="5"/>
    </row>
    <row r="2474" spans="1:26" ht="15.6" x14ac:dyDescent="0.3">
      <c r="A2474" s="18" t="s">
        <v>3</v>
      </c>
      <c r="B2474" s="24" t="s">
        <v>2469</v>
      </c>
      <c r="C2474" s="2" t="str">
        <f ca="1">IFERROR(__xludf.DUMMYFUNCTION("GOOGLETRANSLATE(B2474, ""bn"", ""en"")"),"When we read the Gita, we see how patience and compassion should be kept in the crisis of human life.")</f>
        <v>When we read the Gita, we see how patience and compassion should be kept in the crisis of human life.</v>
      </c>
      <c r="D2474" s="5"/>
      <c r="E2474" s="5"/>
      <c r="F2474" s="5"/>
      <c r="G2474" s="5"/>
      <c r="H2474" s="5"/>
      <c r="I2474" s="5"/>
      <c r="J2474" s="5"/>
      <c r="K2474" s="5"/>
      <c r="L2474" s="5"/>
      <c r="M2474" s="5"/>
      <c r="N2474" s="5"/>
      <c r="O2474" s="5"/>
      <c r="P2474" s="5"/>
      <c r="Q2474" s="5"/>
      <c r="R2474" s="5"/>
      <c r="S2474" s="5"/>
      <c r="T2474" s="5"/>
      <c r="U2474" s="5"/>
      <c r="V2474" s="5"/>
      <c r="W2474" s="5"/>
      <c r="X2474" s="5"/>
      <c r="Y2474" s="5"/>
      <c r="Z2474" s="5"/>
    </row>
    <row r="2475" spans="1:26" ht="15.6" x14ac:dyDescent="0.3">
      <c r="A2475" s="18" t="s">
        <v>5</v>
      </c>
      <c r="B2475" s="24" t="s">
        <v>2470</v>
      </c>
      <c r="C2475" s="2" t="str">
        <f ca="1">IFERROR(__xludf.DUMMYFUNCTION("GOOGLETRANSLATE(B2475, ""bn"", ""en"")"),"In December 2019, a young man was killed while trying to save his sister from apostasy; Members of religious groups carry out attacks; 13 people lost their lives.")</f>
        <v>In December 2019, a young man was killed while trying to save his sister from apostasy; Members of religious groups carry out attacks; 13 people lost their lives.</v>
      </c>
      <c r="D2475" s="5"/>
      <c r="E2475" s="5"/>
      <c r="F2475" s="5"/>
      <c r="G2475" s="5"/>
      <c r="H2475" s="5"/>
      <c r="I2475" s="5"/>
      <c r="J2475" s="5"/>
      <c r="K2475" s="5"/>
      <c r="L2475" s="5"/>
      <c r="M2475" s="5"/>
      <c r="N2475" s="5"/>
      <c r="O2475" s="5"/>
      <c r="P2475" s="5"/>
      <c r="Q2475" s="5"/>
      <c r="R2475" s="5"/>
      <c r="S2475" s="5"/>
      <c r="T2475" s="5"/>
      <c r="U2475" s="5"/>
      <c r="V2475" s="5"/>
      <c r="W2475" s="5"/>
      <c r="X2475" s="5"/>
      <c r="Y2475" s="5"/>
      <c r="Z2475" s="5"/>
    </row>
    <row r="2476" spans="1:26" ht="15.6" x14ac:dyDescent="0.3">
      <c r="A2476" s="18" t="s">
        <v>5</v>
      </c>
      <c r="B2476" s="24" t="s">
        <v>2471</v>
      </c>
      <c r="C2476" s="2" t="str">
        <f ca="1">IFERROR(__xludf.DUMMYFUNCTION("GOOGLETRANSLATE(B2476, ""bn"", ""en"")"),"In August 2017, a religious group banned blood donation, leading to the deaths of at least 40 patients.")</f>
        <v>In August 2017, a religious group banned blood donation, leading to the deaths of at least 40 patients.</v>
      </c>
      <c r="D2476" s="5"/>
      <c r="E2476" s="5"/>
      <c r="F2476" s="5"/>
      <c r="G2476" s="5"/>
      <c r="H2476" s="5"/>
      <c r="I2476" s="5"/>
      <c r="J2476" s="5"/>
      <c r="K2476" s="5"/>
      <c r="L2476" s="5"/>
      <c r="M2476" s="5"/>
      <c r="N2476" s="5"/>
      <c r="O2476" s="5"/>
      <c r="P2476" s="5"/>
      <c r="Q2476" s="5"/>
      <c r="R2476" s="5"/>
      <c r="S2476" s="5"/>
      <c r="T2476" s="5"/>
      <c r="U2476" s="5"/>
      <c r="V2476" s="5"/>
      <c r="W2476" s="5"/>
      <c r="X2476" s="5"/>
      <c r="Y2476" s="5"/>
      <c r="Z2476" s="5"/>
    </row>
    <row r="2477" spans="1:26" ht="15.6" x14ac:dyDescent="0.3">
      <c r="A2477" s="18" t="s">
        <v>3</v>
      </c>
      <c r="B2477" s="25" t="s">
        <v>2472</v>
      </c>
      <c r="C2477" s="2" t="str">
        <f ca="1">IFERROR(__xludf.DUMMYFUNCTION("GOOGLETRANSLATE(B2477, ""bn"", ""en"")"),"When a Hindu dies, according to the rules, the deceased's property is inherited first by his son, in the absence of a son by his grandson (son's son) and in the absence of a son and grandson by his great-grandson (son's son's son).")</f>
        <v>When a Hindu dies, according to the rules, the deceased's property is inherited first by his son, in the absence of a son by his grandson (son's son) and in the absence of a son and grandson by his great-grandson (son's son's son).</v>
      </c>
      <c r="D2477" s="5"/>
      <c r="E2477" s="5"/>
      <c r="F2477" s="5"/>
      <c r="G2477" s="5"/>
      <c r="H2477" s="5"/>
      <c r="I2477" s="5"/>
      <c r="J2477" s="5"/>
      <c r="K2477" s="5"/>
      <c r="L2477" s="5"/>
      <c r="M2477" s="5"/>
      <c r="N2477" s="5"/>
      <c r="O2477" s="5"/>
      <c r="P2477" s="5"/>
      <c r="Q2477" s="5"/>
      <c r="R2477" s="5"/>
      <c r="S2477" s="5"/>
      <c r="T2477" s="5"/>
      <c r="U2477" s="5"/>
      <c r="V2477" s="5"/>
      <c r="W2477" s="5"/>
      <c r="X2477" s="5"/>
      <c r="Y2477" s="5"/>
      <c r="Z2477" s="5"/>
    </row>
    <row r="2478" spans="1:26" ht="15.6" x14ac:dyDescent="0.3">
      <c r="A2478" s="18" t="s">
        <v>5</v>
      </c>
      <c r="B2478" s="25" t="s">
        <v>2473</v>
      </c>
      <c r="C2478" s="2" t="str">
        <f ca="1">IFERROR(__xludf.DUMMYFUNCTION("GOOGLETRANSLATE(B2478, ""bn"", ""en"")"),"More than 40 Muslims were gunned down in violent religious clashes in one of the worst human rights abuses in history.")</f>
        <v>More than 40 Muslims were gunned down in violent religious clashes in one of the worst human rights abuses in history.</v>
      </c>
      <c r="D2478" s="5"/>
      <c r="E2478" s="5"/>
      <c r="F2478" s="5"/>
      <c r="G2478" s="5"/>
      <c r="H2478" s="5"/>
      <c r="I2478" s="5"/>
      <c r="J2478" s="5"/>
      <c r="K2478" s="5"/>
      <c r="L2478" s="5"/>
      <c r="M2478" s="5"/>
      <c r="N2478" s="5"/>
      <c r="O2478" s="5"/>
      <c r="P2478" s="5"/>
      <c r="Q2478" s="5"/>
      <c r="R2478" s="5"/>
      <c r="S2478" s="5"/>
      <c r="T2478" s="5"/>
      <c r="U2478" s="5"/>
      <c r="V2478" s="5"/>
      <c r="W2478" s="5"/>
      <c r="X2478" s="5"/>
      <c r="Y2478" s="5"/>
      <c r="Z2478" s="5"/>
    </row>
    <row r="2479" spans="1:26" ht="15.6" x14ac:dyDescent="0.3">
      <c r="A2479" s="18" t="s">
        <v>5</v>
      </c>
      <c r="B2479" s="24" t="s">
        <v>2474</v>
      </c>
      <c r="C2479" s="2" t="str">
        <f ca="1">IFERROR(__xludf.DUMMYFUNCTION("GOOGLETRANSLATE(B2479, ""bn"", ""en"")"),"On October 20, 2019, 4 people were killed and hundreds injured in clashes in Borhanuddin, Bhola, after rumors of blasphemy were spread on Facebook. Homes and shops of the Hindu community were attacked.")</f>
        <v>On October 20, 2019, 4 people were killed and hundreds injured in clashes in Borhanuddin, Bhola, after rumors of blasphemy were spread on Facebook. Homes and shops of the Hindu community were attacked.</v>
      </c>
      <c r="D2479" s="5"/>
      <c r="E2479" s="5"/>
      <c r="F2479" s="5"/>
      <c r="G2479" s="5"/>
      <c r="H2479" s="5"/>
      <c r="I2479" s="5"/>
      <c r="J2479" s="5"/>
      <c r="K2479" s="5"/>
      <c r="L2479" s="5"/>
      <c r="M2479" s="5"/>
      <c r="N2479" s="5"/>
      <c r="O2479" s="5"/>
      <c r="P2479" s="5"/>
      <c r="Q2479" s="5"/>
      <c r="R2479" s="5"/>
      <c r="S2479" s="5"/>
      <c r="T2479" s="5"/>
      <c r="U2479" s="5"/>
      <c r="V2479" s="5"/>
      <c r="W2479" s="5"/>
      <c r="X2479" s="5"/>
      <c r="Y2479" s="5"/>
      <c r="Z2479" s="5"/>
    </row>
    <row r="2480" spans="1:26" ht="15.6" x14ac:dyDescent="0.3">
      <c r="A2480" s="19" t="s">
        <v>3</v>
      </c>
      <c r="B2480" s="26" t="s">
        <v>2475</v>
      </c>
      <c r="C2480" s="2" t="str">
        <f ca="1">IFERROR(__xludf.DUMMYFUNCTION("GOOGLETRANSLATE(B2480, ""bn"", ""en"")"),"Although Titu Roy's house is in one village, he lives in another place on charges of religious insult.")</f>
        <v>Although Titu Roy's house is in one village, he lives in another place on charges of religious insult.</v>
      </c>
      <c r="D2480" s="7"/>
      <c r="E2480" s="7"/>
      <c r="F2480" s="5"/>
      <c r="G2480" s="5"/>
      <c r="H2480" s="5"/>
      <c r="I2480" s="5"/>
      <c r="J2480" s="5"/>
      <c r="K2480" s="5"/>
      <c r="L2480" s="5"/>
      <c r="M2480" s="5"/>
      <c r="N2480" s="5"/>
      <c r="O2480" s="5"/>
      <c r="P2480" s="5"/>
      <c r="Q2480" s="5"/>
      <c r="R2480" s="5"/>
      <c r="S2480" s="5"/>
      <c r="T2480" s="5"/>
      <c r="U2480" s="5"/>
      <c r="V2480" s="5"/>
      <c r="W2480" s="5"/>
      <c r="X2480" s="5"/>
      <c r="Y2480" s="5"/>
      <c r="Z2480" s="5"/>
    </row>
    <row r="2481" spans="1:26" ht="15.6" x14ac:dyDescent="0.3">
      <c r="A2481" s="19" t="s">
        <v>8</v>
      </c>
      <c r="B2481" s="26" t="s">
        <v>2476</v>
      </c>
      <c r="C2481" s="2" t="str">
        <f ca="1">IFERROR(__xludf.DUMMYFUNCTION("GOOGLETRANSLATE(B2481, ""bn"", ""en"")"),"In a Jame Masjid of Dhanyadaul village of Brahmanpara Upazila of Comilla, excrement was thrown, 25-30 Quran Sharifs were torn and the rails and window glass of the mosque were vandalized.")</f>
        <v>In a Jame Masjid of Dhanyadaul village of Brahmanpara Upazila of Comilla, excrement was thrown, 25-30 Quran Sharifs were torn and the rails and window glass of the mosque were vandalized.</v>
      </c>
      <c r="D2481" s="7"/>
      <c r="E2481" s="7"/>
      <c r="F2481" s="7"/>
      <c r="G2481" s="7"/>
      <c r="H2481" s="7"/>
      <c r="I2481" s="7"/>
      <c r="J2481" s="7"/>
      <c r="K2481" s="7"/>
      <c r="L2481" s="7"/>
      <c r="M2481" s="7"/>
      <c r="N2481" s="7"/>
      <c r="O2481" s="5"/>
      <c r="P2481" s="5"/>
      <c r="Q2481" s="5"/>
      <c r="R2481" s="5"/>
      <c r="S2481" s="5"/>
      <c r="T2481" s="5"/>
      <c r="U2481" s="5"/>
      <c r="V2481" s="5"/>
      <c r="W2481" s="5"/>
      <c r="X2481" s="5"/>
      <c r="Y2481" s="5"/>
      <c r="Z2481" s="5"/>
    </row>
    <row r="2482" spans="1:26" ht="15.6" x14ac:dyDescent="0.3">
      <c r="A2482" s="19" t="s">
        <v>8</v>
      </c>
      <c r="B2482" s="26" t="s">
        <v>2477</v>
      </c>
      <c r="C2482" s="2" t="str">
        <f ca="1">IFERROR(__xludf.DUMMYFUNCTION("GOOGLETRANSLATE(B2482, ""bn"", ""en"")"),"Attempting to construct a mosque fraudulently on Kantjio/ Kantjir/ Kantnagar temple land is an unknown future plan to hurt the religious sentiments of the minorities and create a local Hindu-Muslim riot apart from the show of religious exaggeration.")</f>
        <v>Attempting to construct a mosque fraudulently on Kantjio/ Kantjir/ Kantnagar temple land is an unknown future plan to hurt the religious sentiments of the minorities and create a local Hindu-Muslim riot apart from the show of religious exaggeration.</v>
      </c>
      <c r="D2482" s="7"/>
      <c r="E2482" s="5"/>
      <c r="F2482" s="5"/>
      <c r="G2482" s="5"/>
      <c r="H2482" s="5"/>
      <c r="I2482" s="5"/>
      <c r="J2482" s="5"/>
      <c r="K2482" s="5"/>
      <c r="L2482" s="5"/>
      <c r="M2482" s="5"/>
      <c r="N2482" s="5"/>
      <c r="O2482" s="5"/>
      <c r="P2482" s="5"/>
      <c r="Q2482" s="5"/>
      <c r="R2482" s="5"/>
      <c r="S2482" s="5"/>
      <c r="T2482" s="5"/>
      <c r="U2482" s="5"/>
      <c r="V2482" s="5"/>
      <c r="W2482" s="5"/>
      <c r="X2482" s="5"/>
      <c r="Y2482" s="5"/>
      <c r="Z2482" s="5"/>
    </row>
    <row r="2483" spans="1:26" ht="15.6" x14ac:dyDescent="0.3">
      <c r="A2483" s="19" t="s">
        <v>8</v>
      </c>
      <c r="B2483" s="26" t="s">
        <v>2478</v>
      </c>
      <c r="C2483" s="2" t="str">
        <f ca="1">IFERROR(__xludf.DUMMYFUNCTION("GOOGLETRANSLATE(B2483, ""bn"", ""en"")"),"In Madaripur, a group of violent people chased the church father to the village after insulting him.")</f>
        <v>In Madaripur, a group of violent people chased the church father to the village after insulting him.</v>
      </c>
      <c r="D2483" s="5"/>
      <c r="E2483" s="5"/>
      <c r="F2483" s="5"/>
      <c r="G2483" s="5"/>
      <c r="H2483" s="5"/>
      <c r="I2483" s="5"/>
      <c r="J2483" s="5"/>
      <c r="K2483" s="5"/>
      <c r="L2483" s="5"/>
      <c r="M2483" s="5"/>
      <c r="N2483" s="5"/>
      <c r="O2483" s="5"/>
      <c r="P2483" s="5"/>
      <c r="Q2483" s="5"/>
      <c r="R2483" s="5"/>
      <c r="S2483" s="5"/>
      <c r="T2483" s="5"/>
      <c r="U2483" s="5"/>
      <c r="V2483" s="5"/>
      <c r="W2483" s="5"/>
      <c r="X2483" s="5"/>
      <c r="Y2483" s="5"/>
      <c r="Z2483" s="5"/>
    </row>
    <row r="2484" spans="1:26" ht="15.6" x14ac:dyDescent="0.3">
      <c r="A2484" s="19" t="s">
        <v>23</v>
      </c>
      <c r="B2484" s="26" t="s">
        <v>2479</v>
      </c>
      <c r="C2484" s="2" t="str">
        <f ca="1">IFERROR(__xludf.DUMMYFUNCTION("GOOGLETRANSLATE(B2484, ""bn"", ""en"")"),"There is a fear of renewed tension around Zamzam Mosque and Haram Al Sharif in Dhaka. Extremists have started praying by entering the third holiest place in Islam. What they never dared before. Locals complain that there is an attempt to divide Zamzam Mas"&amp;"jid on the basis of caste. They have also warned of starting a religious war if it is not stopped.")</f>
        <v>There is a fear of renewed tension around Zamzam Mosque and Haram Al Sharif in Dhaka. Extremists have started praying by entering the third holiest place in Islam. What they never dared before. Locals complain that there is an attempt to divide Zamzam Masjid on the basis of caste. They have also warned of starting a religious war if it is not stopped.</v>
      </c>
      <c r="D2484" s="7"/>
      <c r="E2484" s="7"/>
      <c r="F2484" s="7"/>
      <c r="G2484" s="7"/>
      <c r="H2484" s="7"/>
      <c r="I2484" s="7"/>
      <c r="J2484" s="7"/>
      <c r="K2484" s="7"/>
      <c r="L2484" s="7"/>
      <c r="M2484" s="7"/>
      <c r="N2484" s="7"/>
      <c r="O2484" s="7"/>
      <c r="P2484" s="7"/>
      <c r="Q2484" s="7"/>
      <c r="R2484" s="7"/>
      <c r="S2484" s="7"/>
      <c r="T2484" s="7"/>
      <c r="U2484" s="7"/>
      <c r="V2484" s="7"/>
      <c r="W2484" s="7"/>
      <c r="X2484" s="7"/>
      <c r="Y2484" s="7"/>
      <c r="Z2484" s="7"/>
    </row>
    <row r="2485" spans="1:26" ht="15.6" x14ac:dyDescent="0.3">
      <c r="A2485" s="18" t="s">
        <v>3</v>
      </c>
      <c r="B2485" s="25" t="s">
        <v>2480</v>
      </c>
      <c r="C2485" s="2" t="str">
        <f ca="1">IFERROR(__xludf.DUMMYFUNCTION("GOOGLETRANSLATE(B2485, ""bn"", ""en"")"),"The Catholic Church is the largest denomination or branch of Christianity by membership. As of 2016, around 1.3 billion people worldwide are considered to be initiated into the Roman Catholic Church.")</f>
        <v>The Catholic Church is the largest denomination or branch of Christianity by membership. As of 2016, around 1.3 billion people worldwide are considered to be initiated into the Roman Catholic Church.</v>
      </c>
      <c r="D2485" s="5"/>
      <c r="E2485" s="5"/>
      <c r="F2485" s="5"/>
      <c r="G2485" s="5"/>
      <c r="H2485" s="5"/>
      <c r="I2485" s="5"/>
      <c r="J2485" s="5"/>
      <c r="K2485" s="5"/>
      <c r="L2485" s="5"/>
      <c r="M2485" s="5"/>
      <c r="N2485" s="5"/>
      <c r="O2485" s="5"/>
      <c r="P2485" s="5"/>
      <c r="Q2485" s="5"/>
      <c r="R2485" s="5"/>
      <c r="S2485" s="5"/>
      <c r="T2485" s="5"/>
      <c r="U2485" s="5"/>
      <c r="V2485" s="5"/>
      <c r="W2485" s="5"/>
      <c r="X2485" s="5"/>
      <c r="Y2485" s="5"/>
      <c r="Z2485" s="5"/>
    </row>
    <row r="2486" spans="1:26" ht="15.6" x14ac:dyDescent="0.3">
      <c r="A2486" s="19" t="s">
        <v>5</v>
      </c>
      <c r="B2486" s="26" t="s">
        <v>2481</v>
      </c>
      <c r="C2486" s="2" t="str">
        <f ca="1">IFERROR(__xludf.DUMMYFUNCTION("GOOGLETRANSLATE(B2486, ""bn"", ""en"")"),"The Razakars brutally tortured and killed nine people, including raping them. Such injustice and oppression is anti-religious and forbidden.")</f>
        <v>The Razakars brutally tortured and killed nine people, including raping them. Such injustice and oppression is anti-religious and forbidden.</v>
      </c>
      <c r="D2486" s="7"/>
      <c r="E2486" s="7"/>
      <c r="F2486" s="7"/>
      <c r="G2486" s="7"/>
      <c r="H2486" s="5"/>
      <c r="I2486" s="5"/>
      <c r="J2486" s="5"/>
      <c r="K2486" s="5"/>
      <c r="L2486" s="5"/>
      <c r="M2486" s="5"/>
      <c r="N2486" s="5"/>
      <c r="O2486" s="5"/>
      <c r="P2486" s="5"/>
      <c r="Q2486" s="5"/>
      <c r="R2486" s="5"/>
      <c r="S2486" s="5"/>
      <c r="T2486" s="5"/>
      <c r="U2486" s="5"/>
      <c r="V2486" s="5"/>
      <c r="W2486" s="5"/>
      <c r="X2486" s="5"/>
      <c r="Y2486" s="5"/>
      <c r="Z2486" s="5"/>
    </row>
    <row r="2487" spans="1:26" ht="15.6" x14ac:dyDescent="0.3">
      <c r="A2487" s="18" t="s">
        <v>8</v>
      </c>
      <c r="B2487" s="25" t="s">
        <v>2482</v>
      </c>
      <c r="C2487" s="2" t="str">
        <f ca="1">IFERROR(__xludf.DUMMYFUNCTION("GOOGLETRANSLATE(B2487, ""bn"", ""en"")"),"If they can destroy the mosque and build a temple, why can't we? There is nothing to argue, we are learning from them")</f>
        <v>If they can destroy the mosque and build a temple, why can't we? There is nothing to argue, we are learning from them</v>
      </c>
      <c r="D2487" s="2"/>
      <c r="E2487" s="2"/>
      <c r="F2487" s="2"/>
      <c r="G2487" s="2"/>
      <c r="H2487" s="5"/>
      <c r="I2487" s="5"/>
      <c r="J2487" s="5"/>
      <c r="K2487" s="5"/>
      <c r="L2487" s="5"/>
      <c r="M2487" s="5"/>
      <c r="N2487" s="5"/>
      <c r="O2487" s="5"/>
      <c r="P2487" s="5"/>
      <c r="Q2487" s="5"/>
      <c r="R2487" s="5"/>
      <c r="S2487" s="5"/>
      <c r="T2487" s="5"/>
      <c r="U2487" s="5"/>
      <c r="V2487" s="5"/>
      <c r="W2487" s="5"/>
      <c r="X2487" s="5"/>
      <c r="Y2487" s="5"/>
      <c r="Z2487" s="5"/>
    </row>
    <row r="2488" spans="1:26" ht="15.6" x14ac:dyDescent="0.3">
      <c r="A2488" s="18" t="s">
        <v>8</v>
      </c>
      <c r="B2488" s="25" t="s">
        <v>2483</v>
      </c>
      <c r="C2488" s="2" t="str">
        <f ca="1">IFERROR(__xludf.DUMMYFUNCTION("GOOGLETRANSLATE(B2488, ""bn"", ""en"")"),"Hundreds of thousands of people attacked the houses of Hindus in Noagaon in Shalla on the morning of March 17 due to a status on Facebook against the joint secretary general of religious organization Hefazte Islam Mamunul Haque.")</f>
        <v>Hundreds of thousands of people attacked the houses of Hindus in Noagaon in Shalla on the morning of March 17 due to a status on Facebook against the joint secretary general of religious organization Hefazte Islam Mamunul Haque.</v>
      </c>
      <c r="D2488" s="2"/>
      <c r="E2488" s="2"/>
      <c r="F2488" s="2"/>
      <c r="G2488" s="2"/>
      <c r="H2488" s="5"/>
      <c r="I2488" s="5"/>
      <c r="J2488" s="5"/>
      <c r="K2488" s="5"/>
      <c r="L2488" s="5"/>
      <c r="M2488" s="5"/>
      <c r="N2488" s="5"/>
      <c r="O2488" s="5"/>
      <c r="P2488" s="5"/>
      <c r="Q2488" s="5"/>
      <c r="R2488" s="5"/>
      <c r="S2488" s="5"/>
      <c r="T2488" s="5"/>
      <c r="U2488" s="5"/>
      <c r="V2488" s="5"/>
      <c r="W2488" s="5"/>
      <c r="X2488" s="5"/>
      <c r="Y2488" s="5"/>
      <c r="Z2488" s="5"/>
    </row>
    <row r="2489" spans="1:26" ht="15.6" x14ac:dyDescent="0.3">
      <c r="A2489" s="18" t="s">
        <v>23</v>
      </c>
      <c r="B2489" s="25" t="s">
        <v>2484</v>
      </c>
      <c r="C2489" s="2" t="str">
        <f ca="1">IFERROR(__xludf.DUMMYFUNCTION("GOOGLETRANSLATE(B2489, ""bn"", ""en"")"),"A few days ago, the controversy that arose over the serving of beef in Sehri in the hall of Rajshahi University was an insult to religious rituals and also hurt religious sentiments.")</f>
        <v>A few days ago, the controversy that arose over the serving of beef in Sehri in the hall of Rajshahi University was an insult to religious rituals and also hurt religious sentiments.</v>
      </c>
      <c r="D2489" s="2"/>
      <c r="E2489" s="2"/>
      <c r="F2489" s="2"/>
      <c r="G2489" s="2"/>
      <c r="H2489" s="3"/>
      <c r="I2489" s="3"/>
      <c r="J2489" s="3"/>
      <c r="K2489" s="3"/>
      <c r="L2489" s="3"/>
      <c r="M2489" s="3"/>
      <c r="N2489" s="3"/>
      <c r="O2489" s="3"/>
      <c r="P2489" s="3"/>
      <c r="Q2489" s="3"/>
      <c r="R2489" s="3"/>
      <c r="S2489" s="3"/>
      <c r="T2489" s="3"/>
      <c r="U2489" s="3"/>
      <c r="V2489" s="3"/>
      <c r="W2489" s="3"/>
      <c r="X2489" s="3"/>
      <c r="Y2489" s="3"/>
      <c r="Z2489" s="3"/>
    </row>
    <row r="2490" spans="1:26" ht="15.6" x14ac:dyDescent="0.3">
      <c r="A2490" s="18" t="s">
        <v>5</v>
      </c>
      <c r="B2490" s="24" t="s">
        <v>2485</v>
      </c>
      <c r="C2490" s="2" t="str">
        <f ca="1">IFERROR(__xludf.DUMMYFUNCTION("GOOGLETRANSLATE(B2490, ""bn"", ""en"")"),"A religious group bombed the temple, killing 29 people.")</f>
        <v>A religious group bombed the temple, killing 29 people.</v>
      </c>
      <c r="D2490" s="5"/>
      <c r="E2490" s="5"/>
      <c r="F2490" s="5"/>
      <c r="G2490" s="5"/>
      <c r="H2490" s="5"/>
      <c r="I2490" s="5"/>
      <c r="J2490" s="5"/>
      <c r="K2490" s="5"/>
      <c r="L2490" s="5"/>
      <c r="M2490" s="5"/>
      <c r="N2490" s="5"/>
      <c r="O2490" s="5"/>
      <c r="P2490" s="5"/>
      <c r="Q2490" s="5"/>
      <c r="R2490" s="5"/>
      <c r="S2490" s="5"/>
      <c r="T2490" s="5"/>
      <c r="U2490" s="5"/>
      <c r="V2490" s="5"/>
      <c r="W2490" s="5"/>
      <c r="X2490" s="5"/>
      <c r="Y2490" s="5"/>
      <c r="Z2490" s="5"/>
    </row>
    <row r="2491" spans="1:26" ht="15.6" x14ac:dyDescent="0.3">
      <c r="A2491" s="18" t="s">
        <v>23</v>
      </c>
      <c r="B2491" s="25" t="s">
        <v>2486</v>
      </c>
      <c r="C2491" s="2" t="str">
        <f ca="1">IFERROR(__xludf.DUMMYFUNCTION("GOOGLETRANSLATE(B2491, ""bn"", ""en"")"),"Where are you getting so much courage? Dear Bangladeshi brothers and sisters, take measures to shut down his YouTube channel, or protest on the streets.")</f>
        <v>Where are you getting so much courage? Dear Bangladeshi brothers and sisters, take measures to shut down his YouTube channel, or protest on the streets.</v>
      </c>
      <c r="D2491" s="2"/>
      <c r="E2491" s="2"/>
      <c r="F2491" s="2"/>
      <c r="G2491" s="2"/>
      <c r="H2491" s="3"/>
      <c r="I2491" s="3"/>
      <c r="J2491" s="3"/>
      <c r="K2491" s="3"/>
      <c r="L2491" s="3"/>
      <c r="M2491" s="3"/>
      <c r="N2491" s="3"/>
      <c r="O2491" s="3"/>
      <c r="P2491" s="3"/>
      <c r="Q2491" s="3"/>
      <c r="R2491" s="3"/>
      <c r="S2491" s="3"/>
      <c r="T2491" s="3"/>
      <c r="U2491" s="3"/>
      <c r="V2491" s="3"/>
      <c r="W2491" s="3"/>
      <c r="X2491" s="3"/>
      <c r="Y2491" s="3"/>
      <c r="Z2491" s="3"/>
    </row>
    <row r="2492" spans="1:26" ht="15.6" x14ac:dyDescent="0.3">
      <c r="A2492" s="18" t="s">
        <v>8</v>
      </c>
      <c r="B2492" s="25" t="s">
        <v>2487</v>
      </c>
      <c r="C2492" s="2" t="str">
        <f ca="1">IFERROR(__xludf.DUMMYFUNCTION("GOOGLETRANSLATE(B2492, ""bn"", ""en"")"),"Indiscriminate attacks on Hindus in various Hindu-dominated villages around Sherpur such as Lakshanpur, Mucherer Char, Char Sherpur Jhankata, Bhatsana, Sapmari etc. Hindu houses were looted and set on fire. is")</f>
        <v>Indiscriminate attacks on Hindus in various Hindu-dominated villages around Sherpur such as Lakshanpur, Mucherer Char, Char Sherpur Jhankata, Bhatsana, Sapmari etc. Hindu houses were looted and set on fire. is</v>
      </c>
      <c r="D2492" s="6"/>
      <c r="E2492" s="6"/>
      <c r="F2492" s="6"/>
      <c r="G2492" s="2"/>
      <c r="H2492" s="3"/>
      <c r="I2492" s="3"/>
      <c r="J2492" s="3"/>
      <c r="K2492" s="3"/>
      <c r="L2492" s="3"/>
      <c r="M2492" s="3"/>
      <c r="N2492" s="3"/>
      <c r="O2492" s="3"/>
      <c r="P2492" s="3"/>
      <c r="Q2492" s="3"/>
      <c r="R2492" s="3"/>
      <c r="S2492" s="3"/>
      <c r="T2492" s="3"/>
      <c r="U2492" s="3"/>
      <c r="V2492" s="3"/>
      <c r="W2492" s="3"/>
      <c r="X2492" s="3"/>
      <c r="Y2492" s="3"/>
      <c r="Z2492" s="3"/>
    </row>
    <row r="2493" spans="1:26" ht="15.6" x14ac:dyDescent="0.3">
      <c r="A2493" s="18" t="s">
        <v>23</v>
      </c>
      <c r="B2493" s="25" t="s">
        <v>2488</v>
      </c>
      <c r="C2493" s="2" t="str">
        <f ca="1">IFERROR(__xludf.DUMMYFUNCTION("GOOGLETRANSLATE(B2493, ""bn"", ""en"")"),"A large backup group of aggressive brokers has developed. The Suddanirpholas will continue to incite the 90% majority of Muslims with culture, religious restrictions, and question the Hindu Muslim brotherhood.")</f>
        <v>A large backup group of aggressive brokers has developed. The Suddanirpholas will continue to incite the 90% majority of Muslims with culture, religious restrictions, and question the Hindu Muslim brotherhood.</v>
      </c>
      <c r="D2493" s="2"/>
      <c r="E2493" s="2"/>
      <c r="F2493" s="2"/>
      <c r="G2493" s="2"/>
      <c r="H2493" s="3"/>
      <c r="I2493" s="3"/>
      <c r="J2493" s="3"/>
      <c r="K2493" s="3"/>
      <c r="L2493" s="3"/>
      <c r="M2493" s="3"/>
      <c r="N2493" s="3"/>
      <c r="O2493" s="3"/>
      <c r="P2493" s="3"/>
      <c r="Q2493" s="3"/>
      <c r="R2493" s="3"/>
      <c r="S2493" s="3"/>
      <c r="T2493" s="3"/>
      <c r="U2493" s="3"/>
      <c r="V2493" s="3"/>
      <c r="W2493" s="3"/>
      <c r="X2493" s="3"/>
      <c r="Y2493" s="3"/>
      <c r="Z2493" s="3"/>
    </row>
    <row r="2494" spans="1:26" ht="15.6" x14ac:dyDescent="0.3">
      <c r="A2494" s="18" t="s">
        <v>8</v>
      </c>
      <c r="B2494" s="24" t="s">
        <v>2489</v>
      </c>
      <c r="C2494" s="2" t="str">
        <f ca="1">IFERROR(__xludf.DUMMYFUNCTION("GOOGLETRANSLATE(B2494, ""bn"", ""en"")"),"In Chapainawabganj, the door of the ancient Kalimandir was hit with a stick and the eyes and nose of almost all the idols were broken.")</f>
        <v>In Chapainawabganj, the door of the ancient Kalimandir was hit with a stick and the eyes and nose of almost all the idols were broken.</v>
      </c>
      <c r="D2494" s="5"/>
      <c r="E2494" s="5"/>
      <c r="F2494" s="5"/>
      <c r="G2494" s="5"/>
      <c r="H2494" s="5"/>
      <c r="I2494" s="5"/>
      <c r="J2494" s="5"/>
      <c r="K2494" s="5"/>
      <c r="L2494" s="5"/>
      <c r="M2494" s="5"/>
      <c r="N2494" s="5"/>
      <c r="O2494" s="5"/>
      <c r="P2494" s="5"/>
      <c r="Q2494" s="5"/>
      <c r="R2494" s="5"/>
      <c r="S2494" s="5"/>
      <c r="T2494" s="5"/>
      <c r="U2494" s="5"/>
      <c r="V2494" s="5"/>
      <c r="W2494" s="5"/>
      <c r="X2494" s="5"/>
      <c r="Y2494" s="5"/>
      <c r="Z2494" s="5"/>
    </row>
    <row r="2495" spans="1:26" ht="15.6" x14ac:dyDescent="0.3">
      <c r="A2495" s="18" t="s">
        <v>3</v>
      </c>
      <c r="B2495" s="25" t="s">
        <v>2490</v>
      </c>
      <c r="C2495" s="2" t="str">
        <f ca="1">IFERROR(__xludf.DUMMYFUNCTION("GOOGLETRANSLATE(B2495, ""bn"", ""en"")"),"If you stand for justice and equality between individuals and communities, then you are a true humanitarian")</f>
        <v>If you stand for justice and equality between individuals and communities, then you are a true humanitarian</v>
      </c>
      <c r="D2495" s="2"/>
      <c r="E2495" s="2"/>
      <c r="F2495" s="2"/>
      <c r="G2495" s="2"/>
      <c r="H2495" s="5"/>
      <c r="I2495" s="5"/>
      <c r="J2495" s="5"/>
      <c r="K2495" s="5"/>
      <c r="L2495" s="5"/>
      <c r="M2495" s="5"/>
      <c r="N2495" s="5"/>
      <c r="O2495" s="5"/>
      <c r="P2495" s="5"/>
      <c r="Q2495" s="5"/>
      <c r="R2495" s="5"/>
      <c r="S2495" s="5"/>
      <c r="T2495" s="5"/>
      <c r="U2495" s="5"/>
      <c r="V2495" s="5"/>
      <c r="W2495" s="5"/>
      <c r="X2495" s="5"/>
      <c r="Y2495" s="5"/>
      <c r="Z2495" s="5"/>
    </row>
    <row r="2496" spans="1:26" ht="15.6" x14ac:dyDescent="0.3">
      <c r="A2496" s="18" t="s">
        <v>5</v>
      </c>
      <c r="B2496" s="24" t="s">
        <v>2491</v>
      </c>
      <c r="C2496" s="2" t="str">
        <f ca="1">IFERROR(__xludf.DUMMYFUNCTION("GOOGLETRANSLATE(B2496, ""bn"", ""en"")"),"41 people were killed in clashes due to religious tension in Cox's Bazar. The police tried to control the situation but the violence did not stop. The government urges everyone to remain calm and responsible. Many minority families seek shelter for safety"&amp;".")</f>
        <v>41 people were killed in clashes due to religious tension in Cox's Bazar. The police tried to control the situation but the violence did not stop. The government urges everyone to remain calm and responsible. Many minority families seek shelter for safety.</v>
      </c>
      <c r="D2496" s="5"/>
      <c r="E2496" s="5"/>
      <c r="F2496" s="5"/>
      <c r="G2496" s="5"/>
      <c r="H2496" s="5"/>
      <c r="I2496" s="5"/>
      <c r="J2496" s="5"/>
      <c r="K2496" s="5"/>
      <c r="L2496" s="5"/>
      <c r="M2496" s="5"/>
      <c r="N2496" s="5"/>
      <c r="O2496" s="5"/>
      <c r="P2496" s="5"/>
      <c r="Q2496" s="5"/>
      <c r="R2496" s="5"/>
      <c r="S2496" s="5"/>
      <c r="T2496" s="5"/>
      <c r="U2496" s="5"/>
      <c r="V2496" s="5"/>
      <c r="W2496" s="5"/>
      <c r="X2496" s="5"/>
      <c r="Y2496" s="5"/>
      <c r="Z2496" s="5"/>
    </row>
    <row r="2497" spans="1:26" ht="15.6" x14ac:dyDescent="0.3">
      <c r="A2497" s="18" t="s">
        <v>5</v>
      </c>
      <c r="B2497" s="25" t="s">
        <v>2492</v>
      </c>
      <c r="C2497" s="2" t="str">
        <f ca="1">IFERROR(__xludf.DUMMYFUNCTION("GOOGLETRANSLATE(B2497, ""bn"", ""en"")"),"Hundreds of innocent pilgrims and scholars were killed in religious hatred suicide attacks and massacres and many were forced to flee for their lives.")</f>
        <v>Hundreds of innocent pilgrims and scholars were killed in religious hatred suicide attacks and massacres and many were forced to flee for their lives.</v>
      </c>
      <c r="D2497" s="5"/>
      <c r="E2497" s="5"/>
      <c r="F2497" s="5"/>
      <c r="G2497" s="5"/>
      <c r="H2497" s="5"/>
      <c r="I2497" s="5"/>
      <c r="J2497" s="5"/>
      <c r="K2497" s="5"/>
      <c r="L2497" s="5"/>
      <c r="M2497" s="5"/>
      <c r="N2497" s="5"/>
      <c r="O2497" s="5"/>
      <c r="P2497" s="5"/>
      <c r="Q2497" s="5"/>
      <c r="R2497" s="5"/>
      <c r="S2497" s="5"/>
      <c r="T2497" s="5"/>
      <c r="U2497" s="5"/>
      <c r="V2497" s="5"/>
      <c r="W2497" s="5"/>
      <c r="X2497" s="5"/>
      <c r="Y2497" s="5"/>
      <c r="Z2497" s="5"/>
    </row>
    <row r="2498" spans="1:26" ht="15.6" x14ac:dyDescent="0.3">
      <c r="A2498" s="18" t="s">
        <v>5</v>
      </c>
      <c r="B2498" s="24" t="s">
        <v>2493</v>
      </c>
      <c r="C2498" s="2" t="str">
        <f ca="1">IFERROR(__xludf.DUMMYFUNCTION("GOOGLETRANSLATE(B2498, ""bn"", ""en"")"),"In March 2021, a religious group set fire to a minority market, killing 34; Their shops and houses were destroyed.")</f>
        <v>In March 2021, a religious group set fire to a minority market, killing 34; Their shops and houses were destroyed.</v>
      </c>
      <c r="D2498" s="5"/>
      <c r="E2498" s="5"/>
      <c r="F2498" s="5"/>
      <c r="G2498" s="5"/>
      <c r="H2498" s="5"/>
      <c r="I2498" s="5"/>
      <c r="J2498" s="5"/>
      <c r="K2498" s="5"/>
      <c r="L2498" s="5"/>
      <c r="M2498" s="5"/>
      <c r="N2498" s="5"/>
      <c r="O2498" s="5"/>
      <c r="P2498" s="5"/>
      <c r="Q2498" s="5"/>
      <c r="R2498" s="5"/>
      <c r="S2498" s="5"/>
      <c r="T2498" s="5"/>
      <c r="U2498" s="5"/>
      <c r="V2498" s="5"/>
      <c r="W2498" s="5"/>
      <c r="X2498" s="5"/>
      <c r="Y2498" s="5"/>
      <c r="Z2498" s="5"/>
    </row>
    <row r="2499" spans="1:26" ht="15.6" x14ac:dyDescent="0.3">
      <c r="A2499" s="18" t="s">
        <v>8</v>
      </c>
      <c r="B2499" s="25" t="s">
        <v>2494</v>
      </c>
      <c r="C2499" s="2" t="str">
        <f ca="1">IFERROR(__xludf.DUMMYFUNCTION("GOOGLETRANSLATE(B2499, ""bn"", ""en"")"),"The Muslims forcibly abducted the daughters of many prominent Brahmin families from Dhaka South and Kachuari. All the members of Ketan Das, Ashwini Nath, Birendra Nath and many other unnamed Hindu families of the area under Chunarghat Police Station of Ha"&amp;"biganj sub-division were brutally converted by the Muslims.")</f>
        <v>The Muslims forcibly abducted the daughters of many prominent Brahmin families from Dhaka South and Kachuari. All the members of Ketan Das, Ashwini Nath, Birendra Nath and many other unnamed Hindu families of the area under Chunarghat Police Station of Habiganj sub-division were brutally converted by the Muslims.</v>
      </c>
      <c r="D2499" s="5"/>
      <c r="E2499" s="5"/>
      <c r="F2499" s="5"/>
      <c r="G2499" s="5"/>
      <c r="H2499" s="5"/>
      <c r="I2499" s="5"/>
      <c r="J2499" s="5"/>
      <c r="K2499" s="5"/>
      <c r="L2499" s="5"/>
      <c r="M2499" s="5"/>
      <c r="N2499" s="5"/>
      <c r="O2499" s="5"/>
      <c r="P2499" s="5"/>
      <c r="Q2499" s="5"/>
      <c r="R2499" s="5"/>
      <c r="S2499" s="5"/>
      <c r="T2499" s="5"/>
      <c r="U2499" s="5"/>
      <c r="V2499" s="5"/>
      <c r="W2499" s="5"/>
      <c r="X2499" s="5"/>
      <c r="Y2499" s="5"/>
      <c r="Z2499" s="5"/>
    </row>
    <row r="2500" spans="1:26" ht="15.6" x14ac:dyDescent="0.3">
      <c r="A2500" s="18" t="s">
        <v>5</v>
      </c>
      <c r="B2500" s="25" t="s">
        <v>2495</v>
      </c>
      <c r="C2500" s="2" t="str">
        <f ca="1">IFERROR(__xludf.DUMMYFUNCTION("GOOGLETRANSLATE(B2500, ""bn"", ""en"")"),"Thousands of innocent people were burnt to death in the name of religious differences. The most cruel of punishments was imprisonment in underground pits, where they lost their lives.")</f>
        <v>Thousands of innocent people were burnt to death in the name of religious differences. The most cruel of punishments was imprisonment in underground pits, where they lost their lives.</v>
      </c>
      <c r="D2500" s="2"/>
      <c r="E2500" s="2"/>
      <c r="F2500" s="2"/>
      <c r="G2500" s="2"/>
      <c r="H2500" s="5"/>
      <c r="I2500" s="5"/>
      <c r="J2500" s="5"/>
      <c r="K2500" s="5"/>
      <c r="L2500" s="5"/>
      <c r="M2500" s="5"/>
      <c r="N2500" s="5"/>
      <c r="O2500" s="5"/>
      <c r="P2500" s="5"/>
      <c r="Q2500" s="5"/>
      <c r="R2500" s="5"/>
      <c r="S2500" s="5"/>
      <c r="T2500" s="5"/>
      <c r="U2500" s="5"/>
      <c r="V2500" s="5"/>
      <c r="W2500" s="5"/>
      <c r="X2500" s="5"/>
      <c r="Y2500" s="5"/>
      <c r="Z2500" s="5"/>
    </row>
    <row r="2501" spans="1:26" ht="15.6" x14ac:dyDescent="0.3">
      <c r="A2501" s="18" t="s">
        <v>23</v>
      </c>
      <c r="B2501" s="25" t="s">
        <v>2496</v>
      </c>
      <c r="C2501" s="2" t="str">
        <f ca="1">IFERROR(__xludf.DUMMYFUNCTION("GOOGLETRANSLATE(B2501, ""bn"", ""en"")"),"In the name of religion, divisions, violence, fights, quarrels, partition of the country all started from 1946/47 especially due to deliberate mistake of Nehru and Gandhi. The poison tree has been planted immediately. Getting rid of it will not be easy.")</f>
        <v>In the name of religion, divisions, violence, fights, quarrels, partition of the country all started from 1946/47 especially due to deliberate mistake of Nehru and Gandhi. The poison tree has been planted immediately. Getting rid of it will not be easy.</v>
      </c>
      <c r="D2501" s="5"/>
      <c r="E2501" s="5"/>
      <c r="F2501" s="5"/>
      <c r="G2501" s="5"/>
      <c r="H2501" s="5"/>
      <c r="I2501" s="5"/>
      <c r="J2501" s="5"/>
      <c r="K2501" s="5"/>
      <c r="L2501" s="5"/>
      <c r="M2501" s="5"/>
      <c r="N2501" s="5"/>
      <c r="O2501" s="5"/>
      <c r="P2501" s="5"/>
      <c r="Q2501" s="5"/>
      <c r="R2501" s="5"/>
      <c r="S2501" s="5"/>
      <c r="T2501" s="5"/>
      <c r="U2501" s="5"/>
      <c r="V2501" s="5"/>
      <c r="W2501" s="5"/>
      <c r="X2501" s="5"/>
      <c r="Y2501" s="5"/>
      <c r="Z2501" s="5"/>
    </row>
    <row r="2502" spans="1:26" ht="15.6" x14ac:dyDescent="0.3">
      <c r="A2502" s="18" t="s">
        <v>5</v>
      </c>
      <c r="B2502" s="25" t="s">
        <v>2497</v>
      </c>
      <c r="C2502" s="2" t="str">
        <f ca="1">IFERROR(__xludf.DUMMYFUNCTION("GOOGLETRANSLATE(B2502, ""bn"", ""en"")"),"In the name of religion, they are carrying out suicide attacks thinking that death is a joke, but they do not know that as a result, they are killing not only themselves but also hundreds of innocent lives in the country.")</f>
        <v>In the name of religion, they are carrying out suicide attacks thinking that death is a joke, but they do not know that as a result, they are killing not only themselves but also hundreds of innocent lives in the country.</v>
      </c>
      <c r="D2502" s="5"/>
      <c r="E2502" s="5"/>
      <c r="F2502" s="5"/>
      <c r="G2502" s="5"/>
      <c r="H2502" s="5"/>
      <c r="I2502" s="5"/>
      <c r="J2502" s="5"/>
      <c r="K2502" s="5"/>
      <c r="L2502" s="5"/>
      <c r="M2502" s="5"/>
      <c r="N2502" s="5"/>
      <c r="O2502" s="5"/>
      <c r="P2502" s="5"/>
      <c r="Q2502" s="5"/>
      <c r="R2502" s="5"/>
      <c r="S2502" s="5"/>
      <c r="T2502" s="5"/>
      <c r="U2502" s="5"/>
      <c r="V2502" s="5"/>
      <c r="W2502" s="5"/>
      <c r="X2502" s="5"/>
      <c r="Y2502" s="5"/>
      <c r="Z2502" s="5"/>
    </row>
    <row r="2503" spans="1:26" ht="15.6" x14ac:dyDescent="0.3">
      <c r="A2503" s="19" t="s">
        <v>3</v>
      </c>
      <c r="B2503" s="26" t="s">
        <v>2498</v>
      </c>
      <c r="C2503" s="2" t="str">
        <f ca="1">IFERROR(__xludf.DUMMYFUNCTION("GOOGLETRANSLATE(B2503, ""bn"", ""en"")"),"Almighty Allah can punish everyone in His heaven and earth. Yet he will not be unjust to them. On the other hand, if He showed mercy to all of them, His mercy would be better for them than their good deeds.")</f>
        <v>Almighty Allah can punish everyone in His heaven and earth. Yet he will not be unjust to them. On the other hand, if He showed mercy to all of them, His mercy would be better for them than their good deeds.</v>
      </c>
      <c r="D2503" s="5"/>
      <c r="E2503" s="5"/>
      <c r="F2503" s="5"/>
      <c r="G2503" s="5"/>
      <c r="H2503" s="5"/>
      <c r="I2503" s="5"/>
      <c r="J2503" s="5"/>
      <c r="K2503" s="5"/>
      <c r="L2503" s="5"/>
      <c r="M2503" s="5"/>
      <c r="N2503" s="5"/>
      <c r="O2503" s="5"/>
      <c r="P2503" s="5"/>
      <c r="Q2503" s="5"/>
      <c r="R2503" s="5"/>
      <c r="S2503" s="5"/>
      <c r="T2503" s="5"/>
      <c r="U2503" s="5"/>
      <c r="V2503" s="5"/>
      <c r="W2503" s="5"/>
      <c r="X2503" s="5"/>
      <c r="Y2503" s="5"/>
      <c r="Z2503" s="5"/>
    </row>
    <row r="2504" spans="1:26" ht="15.6" x14ac:dyDescent="0.3">
      <c r="A2504" s="18" t="s">
        <v>23</v>
      </c>
      <c r="B2504" s="25" t="s">
        <v>2499</v>
      </c>
      <c r="C2504" s="2" t="str">
        <f ca="1">IFERROR(__xludf.DUMMYFUNCTION("GOOGLETRANSLATE(B2504, ""bn"", ""en"")"),"Notices were put up in the homes of all Hindus, asking them to leave within 24 hours or die. Between 300,000 and 500,000 Pandits have been displaced due to persecution by Islamic fundamentalists.")</f>
        <v>Notices were put up in the homes of all Hindus, asking them to leave within 24 hours or die. Between 300,000 and 500,000 Pandits have been displaced due to persecution by Islamic fundamentalists.</v>
      </c>
      <c r="D2504" s="6"/>
      <c r="E2504" s="2"/>
      <c r="F2504" s="2"/>
      <c r="G2504" s="2"/>
      <c r="H2504" s="5"/>
      <c r="I2504" s="5"/>
      <c r="J2504" s="5"/>
      <c r="K2504" s="5"/>
      <c r="L2504" s="5"/>
      <c r="M2504" s="5"/>
      <c r="N2504" s="5"/>
      <c r="O2504" s="5"/>
      <c r="P2504" s="5"/>
      <c r="Q2504" s="5"/>
      <c r="R2504" s="5"/>
      <c r="S2504" s="5"/>
      <c r="T2504" s="5"/>
      <c r="U2504" s="5"/>
      <c r="V2504" s="5"/>
      <c r="W2504" s="5"/>
      <c r="X2504" s="5"/>
      <c r="Y2504" s="5"/>
      <c r="Z2504" s="5"/>
    </row>
    <row r="2505" spans="1:26" ht="15.6" x14ac:dyDescent="0.3">
      <c r="A2505" s="18" t="s">
        <v>5</v>
      </c>
      <c r="B2505" s="24" t="s">
        <v>2500</v>
      </c>
      <c r="C2505" s="2" t="str">
        <f ca="1">IFERROR(__xludf.DUMMYFUNCTION("GOOGLETRANSLATE(B2505, ""bn"", ""en"")"),"In August 2021, a group beat a youth to death for distributing religious books; 20 people lost their lives in the violence.")</f>
        <v>In August 2021, a group beat a youth to death for distributing religious books; 20 people lost their lives in the violence.</v>
      </c>
      <c r="D2505" s="5"/>
      <c r="E2505" s="5"/>
      <c r="F2505" s="5"/>
      <c r="G2505" s="5"/>
      <c r="H2505" s="5"/>
      <c r="I2505" s="5"/>
      <c r="J2505" s="5"/>
      <c r="K2505" s="5"/>
      <c r="L2505" s="5"/>
      <c r="M2505" s="5"/>
      <c r="N2505" s="5"/>
      <c r="O2505" s="5"/>
      <c r="P2505" s="5"/>
      <c r="Q2505" s="5"/>
      <c r="R2505" s="5"/>
      <c r="S2505" s="5"/>
      <c r="T2505" s="5"/>
      <c r="U2505" s="5"/>
      <c r="V2505" s="5"/>
      <c r="W2505" s="5"/>
      <c r="X2505" s="5"/>
      <c r="Y2505" s="5"/>
      <c r="Z2505" s="5"/>
    </row>
    <row r="2506" spans="1:26" ht="15.6" x14ac:dyDescent="0.3">
      <c r="A2506" s="19" t="s">
        <v>3</v>
      </c>
      <c r="B2506" s="26" t="s">
        <v>2501</v>
      </c>
      <c r="C2506" s="2" t="str">
        <f ca="1">IFERROR(__xludf.DUMMYFUNCTION("GOOGLETRANSLATE(B2506, ""bn"", ""en"")"),"Between 623 and 624 the Muslims and the Quraysh fought a series of battles, the first major battle of which was the Battle of Badr, in which the Muslims were victorious.")</f>
        <v>Between 623 and 624 the Muslims and the Quraysh fought a series of battles, the first major battle of which was the Battle of Badr, in which the Muslims were victorious.</v>
      </c>
      <c r="D2506" s="7"/>
      <c r="E2506" s="7"/>
      <c r="F2506" s="7"/>
      <c r="G2506" s="7"/>
      <c r="H2506" s="7"/>
      <c r="I2506" s="7"/>
      <c r="J2506" s="7"/>
      <c r="K2506" s="5"/>
      <c r="L2506" s="5"/>
      <c r="M2506" s="5"/>
      <c r="N2506" s="5"/>
      <c r="O2506" s="5"/>
      <c r="P2506" s="5"/>
      <c r="Q2506" s="5"/>
      <c r="R2506" s="5"/>
      <c r="S2506" s="5"/>
      <c r="T2506" s="5"/>
      <c r="U2506" s="5"/>
      <c r="V2506" s="5"/>
      <c r="W2506" s="5"/>
      <c r="X2506" s="5"/>
      <c r="Y2506" s="5"/>
      <c r="Z2506" s="5"/>
    </row>
    <row r="2507" spans="1:26" ht="15.6" x14ac:dyDescent="0.3">
      <c r="A2507" s="18" t="s">
        <v>23</v>
      </c>
      <c r="B2507" s="25" t="s">
        <v>2502</v>
      </c>
      <c r="C2507" s="2" t="str">
        <f ca="1">IFERROR(__xludf.DUMMYFUNCTION("GOOGLETRANSLATE(B2507, ""bn"", ""en"")"),"Udhayanidhi's statement is an expression of his hatred towards Sanatan Dharma. Although he was a MLA and minister, he made deliberately inflammatory and derogatory remarks about Sanatan Dharma, intended to create enmity between religious groups.")</f>
        <v>Udhayanidhi's statement is an expression of his hatred towards Sanatan Dharma. Although he was a MLA and minister, he made deliberately inflammatory and derogatory remarks about Sanatan Dharma, intended to create enmity between religious groups.</v>
      </c>
      <c r="D2507" s="2"/>
      <c r="E2507" s="2"/>
      <c r="F2507" s="2"/>
      <c r="G2507" s="2"/>
      <c r="H2507" s="3"/>
      <c r="I2507" s="3"/>
      <c r="J2507" s="3"/>
      <c r="K2507" s="3"/>
      <c r="L2507" s="3"/>
      <c r="M2507" s="3"/>
      <c r="N2507" s="3"/>
      <c r="O2507" s="3"/>
      <c r="P2507" s="3"/>
      <c r="Q2507" s="3"/>
      <c r="R2507" s="3"/>
      <c r="S2507" s="3"/>
      <c r="T2507" s="3"/>
      <c r="U2507" s="3"/>
      <c r="V2507" s="3"/>
      <c r="W2507" s="3"/>
      <c r="X2507" s="3"/>
      <c r="Y2507" s="3"/>
      <c r="Z2507" s="3"/>
    </row>
    <row r="2508" spans="1:26" ht="15.6" x14ac:dyDescent="0.3">
      <c r="A2508" s="18" t="s">
        <v>23</v>
      </c>
      <c r="B2508" s="25" t="s">
        <v>2503</v>
      </c>
      <c r="C2508" s="2" t="str">
        <f ca="1">IFERROR(__xludf.DUMMYFUNCTION("GOOGLETRANSLATE(B2508, ""bn"", ""en"")"),"""O,I,C"" consists of 57 Muslim countries. If the Muslims are in danger they are hiding in the pit, then there is no need for it. Disband these people, who are the organizations.")</f>
        <v>"O,I,C" consists of 57 Muslim countries. If the Muslims are in danger they are hiding in the pit, then there is no need for it. Disband these people, who are the organizations.</v>
      </c>
      <c r="D2508" s="2"/>
      <c r="E2508" s="2"/>
      <c r="F2508" s="2"/>
      <c r="G2508" s="2"/>
      <c r="H2508" s="3"/>
      <c r="I2508" s="3"/>
      <c r="J2508" s="3"/>
      <c r="K2508" s="3"/>
      <c r="L2508" s="3"/>
      <c r="M2508" s="3"/>
      <c r="N2508" s="3"/>
      <c r="O2508" s="3"/>
      <c r="P2508" s="3"/>
      <c r="Q2508" s="3"/>
      <c r="R2508" s="3"/>
      <c r="S2508" s="3"/>
      <c r="T2508" s="3"/>
      <c r="U2508" s="3"/>
      <c r="V2508" s="3"/>
      <c r="W2508" s="3"/>
      <c r="X2508" s="3"/>
      <c r="Y2508" s="3"/>
      <c r="Z2508" s="3"/>
    </row>
    <row r="2509" spans="1:26" ht="15.6" x14ac:dyDescent="0.3">
      <c r="A2509" s="18" t="s">
        <v>8</v>
      </c>
      <c r="B2509" s="25" t="s">
        <v>2504</v>
      </c>
      <c r="C2509" s="2" t="str">
        <f ca="1">IFERROR(__xludf.DUMMYFUNCTION("GOOGLETRANSLATE(B2509, ""bn"", ""en"")"),"Attack on teacher's house on charges of 'hurting religious sentiments', HRFB worries")</f>
        <v>Attack on teacher's house on charges of 'hurting religious sentiments', HRFB worries</v>
      </c>
      <c r="D2509" s="5"/>
      <c r="E2509" s="5"/>
      <c r="F2509" s="5"/>
      <c r="G2509" s="5"/>
      <c r="H2509" s="5"/>
      <c r="I2509" s="5"/>
      <c r="J2509" s="5"/>
      <c r="K2509" s="5"/>
      <c r="L2509" s="5"/>
      <c r="M2509" s="5"/>
      <c r="N2509" s="5"/>
      <c r="O2509" s="5"/>
      <c r="P2509" s="5"/>
      <c r="Q2509" s="5"/>
      <c r="R2509" s="5"/>
      <c r="S2509" s="5"/>
      <c r="T2509" s="5"/>
      <c r="U2509" s="5"/>
      <c r="V2509" s="5"/>
      <c r="W2509" s="5"/>
      <c r="X2509" s="5"/>
      <c r="Y2509" s="5"/>
      <c r="Z2509" s="5"/>
    </row>
    <row r="2510" spans="1:26" ht="15.6" x14ac:dyDescent="0.3">
      <c r="A2510" s="18" t="s">
        <v>8</v>
      </c>
      <c r="B2510" s="25" t="s">
        <v>2505</v>
      </c>
      <c r="C2510" s="2" t="str">
        <f ca="1">IFERROR(__xludf.DUMMYFUNCTION("GOOGLETRANSLATE(B2510, ""bn"", ""en"")"),"His point is that where they have been living in harmony for ages, such an attack cannot happen based on a Facebook post. The incident has been planned using his concept - religion.")</f>
        <v>His point is that where they have been living in harmony for ages, such an attack cannot happen based on a Facebook post. The incident has been planned using his concept - religion.</v>
      </c>
      <c r="D2510" s="5"/>
      <c r="E2510" s="5"/>
      <c r="F2510" s="5"/>
      <c r="G2510" s="5"/>
      <c r="H2510" s="5"/>
      <c r="I2510" s="5"/>
      <c r="J2510" s="5"/>
      <c r="K2510" s="5"/>
      <c r="L2510" s="5"/>
      <c r="M2510" s="5"/>
      <c r="N2510" s="5"/>
      <c r="O2510" s="5"/>
      <c r="P2510" s="5"/>
      <c r="Q2510" s="5"/>
      <c r="R2510" s="5"/>
      <c r="S2510" s="5"/>
      <c r="T2510" s="5"/>
      <c r="U2510" s="5"/>
      <c r="V2510" s="5"/>
      <c r="W2510" s="5"/>
      <c r="X2510" s="5"/>
      <c r="Y2510" s="5"/>
      <c r="Z2510" s="5"/>
    </row>
    <row r="2511" spans="1:26" ht="15.6" x14ac:dyDescent="0.3">
      <c r="A2511" s="18" t="s">
        <v>3</v>
      </c>
      <c r="B2511" s="25" t="s">
        <v>2506</v>
      </c>
      <c r="C2511" s="2" t="str">
        <f ca="1">IFERROR(__xludf.DUMMYFUNCTION("GOOGLETRANSLATE(B2511, ""bn"", ""en"")"),"In the Qur'an, Allah created mankind to worship Him, and by following His principles and ideals, peace and liberation can be attained.")</f>
        <v>In the Qur'an, Allah created mankind to worship Him, and by following His principles and ideals, peace and liberation can be attained.</v>
      </c>
      <c r="D2511" s="2"/>
      <c r="E2511" s="2"/>
      <c r="F2511" s="2"/>
      <c r="G2511" s="2"/>
      <c r="H2511" s="5"/>
      <c r="I2511" s="5"/>
      <c r="J2511" s="5"/>
      <c r="K2511" s="5"/>
      <c r="L2511" s="5"/>
      <c r="M2511" s="5"/>
      <c r="N2511" s="5"/>
      <c r="O2511" s="5"/>
      <c r="P2511" s="5"/>
      <c r="Q2511" s="5"/>
      <c r="R2511" s="5"/>
      <c r="S2511" s="5"/>
      <c r="T2511" s="5"/>
      <c r="U2511" s="5"/>
      <c r="V2511" s="5"/>
      <c r="W2511" s="5"/>
      <c r="X2511" s="5"/>
      <c r="Y2511" s="5"/>
      <c r="Z2511" s="5"/>
    </row>
    <row r="2512" spans="1:26" ht="15.6" x14ac:dyDescent="0.3">
      <c r="A2512" s="19" t="s">
        <v>8</v>
      </c>
      <c r="B2512" s="26" t="s">
        <v>2507</v>
      </c>
      <c r="C2512" s="2" t="str">
        <f ca="1">IFERROR(__xludf.DUMMYFUNCTION("GOOGLETRANSLATE(B2512, ""bn"", ""en"")"),"In Bagerhat Muslim families were excommunicated by local influential groups when they donated to the church.")</f>
        <v>In Bagerhat Muslim families were excommunicated by local influential groups when they donated to the church.</v>
      </c>
      <c r="D2512" s="5"/>
      <c r="E2512" s="5"/>
      <c r="F2512" s="5"/>
      <c r="G2512" s="5"/>
      <c r="H2512" s="5"/>
      <c r="I2512" s="5"/>
      <c r="J2512" s="5"/>
      <c r="K2512" s="5"/>
      <c r="L2512" s="5"/>
      <c r="M2512" s="5"/>
      <c r="N2512" s="5"/>
      <c r="O2512" s="5"/>
      <c r="P2512" s="5"/>
      <c r="Q2512" s="5"/>
      <c r="R2512" s="5"/>
      <c r="S2512" s="5"/>
      <c r="T2512" s="5"/>
      <c r="U2512" s="5"/>
      <c r="V2512" s="5"/>
      <c r="W2512" s="5"/>
      <c r="X2512" s="5"/>
      <c r="Y2512" s="5"/>
      <c r="Z2512" s="5"/>
    </row>
    <row r="2513" spans="1:26" ht="15.6" x14ac:dyDescent="0.3">
      <c r="A2513" s="18" t="s">
        <v>5</v>
      </c>
      <c r="B2513" s="25" t="s">
        <v>2508</v>
      </c>
      <c r="C2513" s="2" t="str">
        <f ca="1">IFERROR(__xludf.DUMMYFUNCTION("GOOGLETRANSLATE(B2513, ""bn"", ""en"")"),"Attempted suicide or attempted burning of women in the name of satim due to religious superstitions is still considered an atrocity punishable by death or imprisonment.")</f>
        <v>Attempted suicide or attempted burning of women in the name of satim due to religious superstitions is still considered an atrocity punishable by death or imprisonment.</v>
      </c>
      <c r="D2513" s="5"/>
      <c r="E2513" s="5"/>
      <c r="F2513" s="5"/>
      <c r="G2513" s="5"/>
      <c r="H2513" s="5"/>
      <c r="I2513" s="5"/>
      <c r="J2513" s="5"/>
      <c r="K2513" s="5"/>
      <c r="L2513" s="5"/>
      <c r="M2513" s="5"/>
      <c r="N2513" s="5"/>
      <c r="O2513" s="5"/>
      <c r="P2513" s="5"/>
      <c r="Q2513" s="5"/>
      <c r="R2513" s="5"/>
      <c r="S2513" s="5"/>
      <c r="T2513" s="5"/>
      <c r="U2513" s="5"/>
      <c r="V2513" s="5"/>
      <c r="W2513" s="5"/>
      <c r="X2513" s="5"/>
      <c r="Y2513" s="5"/>
      <c r="Z2513" s="5"/>
    </row>
    <row r="2514" spans="1:26" ht="15.6" x14ac:dyDescent="0.3">
      <c r="A2514" s="18" t="s">
        <v>5</v>
      </c>
      <c r="B2514" s="25" t="s">
        <v>2509</v>
      </c>
      <c r="C2514" s="2" t="str">
        <f ca="1">IFERROR(__xludf.DUMMYFUNCTION("GOOGLETRANSLATE(B2514, ""bn"", ""en"")"),"Innocent people were gunned down for religious reasons, but the voices of those who bullied humanity were never heard.")</f>
        <v>Innocent people were gunned down for religious reasons, but the voices of those who bullied humanity were never heard.</v>
      </c>
      <c r="D2514" s="5"/>
      <c r="E2514" s="5"/>
      <c r="F2514" s="5"/>
      <c r="G2514" s="5"/>
      <c r="H2514" s="5"/>
      <c r="I2514" s="5"/>
      <c r="J2514" s="5"/>
      <c r="K2514" s="5"/>
      <c r="L2514" s="5"/>
      <c r="M2514" s="5"/>
      <c r="N2514" s="5"/>
      <c r="O2514" s="5"/>
      <c r="P2514" s="5"/>
      <c r="Q2514" s="5"/>
      <c r="R2514" s="5"/>
      <c r="S2514" s="5"/>
      <c r="T2514" s="5"/>
      <c r="U2514" s="5"/>
      <c r="V2514" s="5"/>
      <c r="W2514" s="5"/>
      <c r="X2514" s="5"/>
      <c r="Y2514" s="5"/>
      <c r="Z2514" s="5"/>
    </row>
    <row r="2515" spans="1:26" ht="15.6" x14ac:dyDescent="0.3">
      <c r="A2515" s="19" t="s">
        <v>3</v>
      </c>
      <c r="B2515" s="26" t="s">
        <v>2510</v>
      </c>
      <c r="C2515" s="2" t="str">
        <f ca="1">IFERROR(__xludf.DUMMYFUNCTION("GOOGLETRANSLATE(B2515, ""bn"", ""en"")"),"After the Hijra, the Qur'an permitted Muslims to bear arms, and Muhammad (pbuh) led the Abwa military campaign against the Quraysh.")</f>
        <v>After the Hijra, the Qur'an permitted Muslims to bear arms, and Muhammad (pbuh) led the Abwa military campaign against the Quraysh.</v>
      </c>
      <c r="D2515" s="7"/>
      <c r="E2515" s="7"/>
      <c r="F2515" s="7"/>
      <c r="G2515" s="7"/>
      <c r="H2515" s="7"/>
      <c r="I2515" s="7"/>
      <c r="J2515" s="7"/>
      <c r="K2515" s="7"/>
      <c r="L2515" s="5"/>
      <c r="M2515" s="5"/>
      <c r="N2515" s="5"/>
      <c r="O2515" s="5"/>
      <c r="P2515" s="5"/>
      <c r="Q2515" s="5"/>
      <c r="R2515" s="5"/>
      <c r="S2515" s="5"/>
      <c r="T2515" s="5"/>
      <c r="U2515" s="5"/>
      <c r="V2515" s="5"/>
      <c r="W2515" s="5"/>
      <c r="X2515" s="5"/>
      <c r="Y2515" s="5"/>
      <c r="Z2515" s="5"/>
    </row>
    <row r="2516" spans="1:26" ht="15.6" x14ac:dyDescent="0.3">
      <c r="A2516" s="18" t="s">
        <v>23</v>
      </c>
      <c r="B2516" s="25" t="s">
        <v>2511</v>
      </c>
      <c r="C2516" s="2" t="str">
        <f ca="1">IFERROR(__xludf.DUMMYFUNCTION("GOOGLETRANSLATE(B2516, ""bn"", ""en"")"),"Razakar's army captured 90 innocent people just because they were Hindus and surrounded the market and tortured them.")</f>
        <v>Razakar's army captured 90 innocent people just because they were Hindus and surrounded the market and tortured them.</v>
      </c>
      <c r="D2516" s="5"/>
      <c r="E2516" s="5"/>
      <c r="F2516" s="5"/>
      <c r="G2516" s="5"/>
      <c r="H2516" s="5"/>
      <c r="I2516" s="5"/>
      <c r="J2516" s="5"/>
      <c r="K2516" s="5"/>
      <c r="L2516" s="5"/>
      <c r="M2516" s="5"/>
      <c r="N2516" s="5"/>
      <c r="O2516" s="5"/>
      <c r="P2516" s="5"/>
      <c r="Q2516" s="5"/>
      <c r="R2516" s="5"/>
      <c r="S2516" s="5"/>
      <c r="T2516" s="5"/>
      <c r="U2516" s="5"/>
      <c r="V2516" s="5"/>
      <c r="W2516" s="5"/>
      <c r="X2516" s="5"/>
      <c r="Y2516" s="5"/>
      <c r="Z2516" s="5"/>
    </row>
    <row r="2517" spans="1:26" ht="15.6" x14ac:dyDescent="0.3">
      <c r="A2517" s="18" t="s">
        <v>5</v>
      </c>
      <c r="B2517" s="25" t="s">
        <v>2512</v>
      </c>
      <c r="C2517" s="2" t="str">
        <f ca="1">IFERROR(__xludf.DUMMYFUNCTION("GOOGLETRANSLATE(B2517, ""bn"", ""en"")"),"The Hindu chiefs burnt the villages of Banshpara, Rampur, Madhupur, Shrichandrapur, Bashikpur, Chakbasta, Shibpur, Baliganj etc. to ashes. [14] According to various sources, at least 45 innocent Hindus were killed by the Muslims and 205 houses were burnt "&amp;"and a large amount of property was looted.")</f>
        <v>The Hindu chiefs burnt the villages of Banshpara, Rampur, Madhupur, Shrichandrapur, Bashikpur, Chakbasta, Shibpur, Baliganj etc. to ashes. [14] According to various sources, at least 45 innocent Hindus were killed by the Muslims and 205 houses were burnt and a large amount of property was looted.</v>
      </c>
      <c r="D2517" s="5"/>
      <c r="E2517" s="5"/>
      <c r="F2517" s="5"/>
      <c r="G2517" s="5"/>
      <c r="H2517" s="5"/>
      <c r="I2517" s="5"/>
      <c r="J2517" s="5"/>
      <c r="K2517" s="5"/>
      <c r="L2517" s="5"/>
      <c r="M2517" s="5"/>
      <c r="N2517" s="5"/>
      <c r="O2517" s="5"/>
      <c r="P2517" s="5"/>
      <c r="Q2517" s="5"/>
      <c r="R2517" s="5"/>
      <c r="S2517" s="5"/>
      <c r="T2517" s="5"/>
      <c r="U2517" s="5"/>
      <c r="V2517" s="5"/>
      <c r="W2517" s="5"/>
      <c r="X2517" s="5"/>
      <c r="Y2517" s="5"/>
      <c r="Z2517" s="5"/>
    </row>
    <row r="2518" spans="1:26" ht="15.6" x14ac:dyDescent="0.3">
      <c r="A2518" s="18" t="s">
        <v>5</v>
      </c>
      <c r="B2518" s="24" t="s">
        <v>2513</v>
      </c>
      <c r="C2518" s="2" t="str">
        <f ca="1">IFERROR(__xludf.DUMMYFUNCTION("GOOGLETRANSLATE(B2518, ""bn"", ""en"")"),"48 people were killed in a clash between religious groups in Comilla. Police quickly cordoned off the area and tried to control the violence, but the situation spiraled out of control. The government appeals to all to maintain calm and religious tolerance"&amp;". Many minority families leave the village due to lack of security.")</f>
        <v>48 people were killed in a clash between religious groups in Comilla. Police quickly cordoned off the area and tried to control the violence, but the situation spiraled out of control. The government appeals to all to maintain calm and religious tolerance. Many minority families leave the village due to lack of security.</v>
      </c>
      <c r="D2518" s="5"/>
      <c r="E2518" s="5"/>
      <c r="F2518" s="5"/>
      <c r="G2518" s="5"/>
      <c r="H2518" s="5"/>
      <c r="I2518" s="5"/>
      <c r="J2518" s="5"/>
      <c r="K2518" s="5"/>
      <c r="L2518" s="5"/>
      <c r="M2518" s="5"/>
      <c r="N2518" s="5"/>
      <c r="O2518" s="5"/>
      <c r="P2518" s="5"/>
      <c r="Q2518" s="5"/>
      <c r="R2518" s="5"/>
      <c r="S2518" s="5"/>
      <c r="T2518" s="5"/>
      <c r="U2518" s="5"/>
      <c r="V2518" s="5"/>
      <c r="W2518" s="5"/>
      <c r="X2518" s="5"/>
      <c r="Y2518" s="5"/>
      <c r="Z2518" s="5"/>
    </row>
    <row r="2519" spans="1:26" ht="15.6" x14ac:dyDescent="0.3">
      <c r="A2519" s="19" t="s">
        <v>5</v>
      </c>
      <c r="B2519" s="26" t="s">
        <v>2514</v>
      </c>
      <c r="C2519" s="2" t="str">
        <f ca="1">IFERROR(__xludf.DUMMYFUNCTION("GOOGLETRANSLATE(B2519, ""bn"", ""en"")"),"In 2013, violent clashes between Hindu and Muslim communities in the Muzaffarnagar area of ​​Bangladesh left more than 60 people dead and thousands displaced.")</f>
        <v>In 2013, violent clashes between Hindu and Muslim communities in the Muzaffarnagar area of ​​Bangladesh left more than 60 people dead and thousands displaced.</v>
      </c>
      <c r="D2519" s="7"/>
      <c r="E2519" s="7"/>
      <c r="F2519" s="7"/>
      <c r="G2519" s="7"/>
      <c r="H2519" s="7"/>
      <c r="I2519" s="7"/>
      <c r="J2519" s="7"/>
      <c r="K2519" s="5"/>
      <c r="L2519" s="5"/>
      <c r="M2519" s="5"/>
      <c r="N2519" s="5"/>
      <c r="O2519" s="5"/>
      <c r="P2519" s="5"/>
      <c r="Q2519" s="5"/>
      <c r="R2519" s="5"/>
      <c r="S2519" s="5"/>
      <c r="T2519" s="5"/>
      <c r="U2519" s="5"/>
      <c r="V2519" s="5"/>
      <c r="W2519" s="5"/>
      <c r="X2519" s="5"/>
      <c r="Y2519" s="5"/>
      <c r="Z2519" s="5"/>
    </row>
    <row r="2520" spans="1:26" ht="15.6" x14ac:dyDescent="0.3">
      <c r="A2520" s="18" t="s">
        <v>3</v>
      </c>
      <c r="B2520" s="25" t="s">
        <v>2515</v>
      </c>
      <c r="C2520" s="2" t="str">
        <f ca="1">IFERROR(__xludf.DUMMYFUNCTION("GOOGLETRANSLATE(B2520, ""bn"", ""en"")"),"Islam emphasizes not only the relationship with Allah, but also the establishment of justice and peace in society, which helps to maintain balance in a person's spiritual and social life.")</f>
        <v>Islam emphasizes not only the relationship with Allah, but also the establishment of justice and peace in society, which helps to maintain balance in a person's spiritual and social life.</v>
      </c>
      <c r="D2520" s="5"/>
      <c r="E2520" s="5"/>
      <c r="F2520" s="5"/>
      <c r="G2520" s="5"/>
      <c r="H2520" s="5"/>
      <c r="I2520" s="5"/>
      <c r="J2520" s="5"/>
      <c r="K2520" s="5"/>
      <c r="L2520" s="5"/>
      <c r="M2520" s="5"/>
      <c r="N2520" s="5"/>
      <c r="O2520" s="5"/>
      <c r="P2520" s="5"/>
      <c r="Q2520" s="5"/>
      <c r="R2520" s="5"/>
      <c r="S2520" s="5"/>
      <c r="T2520" s="5"/>
      <c r="U2520" s="5"/>
      <c r="V2520" s="5"/>
      <c r="W2520" s="5"/>
      <c r="X2520" s="5"/>
      <c r="Y2520" s="5"/>
      <c r="Z2520" s="5"/>
    </row>
    <row r="2521" spans="1:26" ht="15.6" x14ac:dyDescent="0.3">
      <c r="A2521" s="18" t="s">
        <v>5</v>
      </c>
      <c r="B2521" s="25" t="s">
        <v>2516</v>
      </c>
      <c r="C2521" s="2" t="str">
        <f ca="1">IFERROR(__xludf.DUMMYFUNCTION("GOOGLETRANSLATE(B2521, ""bn"", ""en"")"),"Countless families have suffered the loss of their loved ones as discord and violence erupted in the name of religion.")</f>
        <v>Countless families have suffered the loss of their loved ones as discord and violence erupted in the name of religion.</v>
      </c>
      <c r="D2521" s="5"/>
      <c r="E2521" s="5"/>
      <c r="F2521" s="5"/>
      <c r="G2521" s="5"/>
      <c r="H2521" s="5"/>
      <c r="I2521" s="5"/>
      <c r="J2521" s="5"/>
      <c r="K2521" s="5"/>
      <c r="L2521" s="5"/>
      <c r="M2521" s="5"/>
      <c r="N2521" s="5"/>
      <c r="O2521" s="5"/>
      <c r="P2521" s="5"/>
      <c r="Q2521" s="5"/>
      <c r="R2521" s="5"/>
      <c r="S2521" s="5"/>
      <c r="T2521" s="5"/>
      <c r="U2521" s="5"/>
      <c r="V2521" s="5"/>
      <c r="W2521" s="5"/>
      <c r="X2521" s="5"/>
      <c r="Y2521" s="5"/>
      <c r="Z2521" s="5"/>
    </row>
    <row r="2522" spans="1:26" ht="15.6" x14ac:dyDescent="0.3">
      <c r="A2522" s="19" t="s">
        <v>8</v>
      </c>
      <c r="B2522" s="26" t="s">
        <v>2517</v>
      </c>
      <c r="C2522" s="2" t="str">
        <f ca="1">IFERROR(__xludf.DUMMYFUNCTION("GOOGLETRANSLATE(B2522, ""bn"", ""en"")"),"Qur'an Sharif is the life of Muslims. To set fire to Qur'an Sharif is to set fire to ourselves. We condemn Sweden")</f>
        <v>Qur'an Sharif is the life of Muslims. To set fire to Qur'an Sharif is to set fire to ourselves. We condemn Sweden</v>
      </c>
      <c r="D2522" s="5"/>
      <c r="E2522" s="5"/>
      <c r="F2522" s="5"/>
      <c r="G2522" s="5"/>
      <c r="H2522" s="5"/>
      <c r="I2522" s="5"/>
      <c r="J2522" s="5"/>
      <c r="K2522" s="5"/>
      <c r="L2522" s="5"/>
      <c r="M2522" s="5"/>
      <c r="N2522" s="5"/>
      <c r="O2522" s="5"/>
      <c r="P2522" s="5"/>
      <c r="Q2522" s="5"/>
      <c r="R2522" s="5"/>
      <c r="S2522" s="5"/>
      <c r="T2522" s="5"/>
      <c r="U2522" s="5"/>
      <c r="V2522" s="5"/>
      <c r="W2522" s="5"/>
      <c r="X2522" s="5"/>
      <c r="Y2522" s="5"/>
      <c r="Z2522" s="5"/>
    </row>
    <row r="2523" spans="1:26" ht="15.6" x14ac:dyDescent="0.3">
      <c r="A2523" s="18" t="s">
        <v>8</v>
      </c>
      <c r="B2523" s="24" t="s">
        <v>2518</v>
      </c>
      <c r="C2523" s="2" t="str">
        <f ca="1">IFERROR(__xludf.DUMMYFUNCTION("GOOGLETRANSLATE(B2523, ""bn"", ""en"")"),"At Jhenaidah the builders destroyed the construction materials of the temple and carted away the clay for making the idols.")</f>
        <v>At Jhenaidah the builders destroyed the construction materials of the temple and carted away the clay for making the idols.</v>
      </c>
      <c r="D2523" s="5"/>
      <c r="E2523" s="5"/>
      <c r="F2523" s="5"/>
      <c r="G2523" s="5"/>
      <c r="H2523" s="5"/>
      <c r="I2523" s="5"/>
      <c r="J2523" s="5"/>
      <c r="K2523" s="5"/>
      <c r="L2523" s="5"/>
      <c r="M2523" s="5"/>
      <c r="N2523" s="5"/>
      <c r="O2523" s="5"/>
      <c r="P2523" s="5"/>
      <c r="Q2523" s="5"/>
      <c r="R2523" s="5"/>
      <c r="S2523" s="5"/>
      <c r="T2523" s="5"/>
      <c r="U2523" s="5"/>
      <c r="V2523" s="5"/>
      <c r="W2523" s="5"/>
      <c r="X2523" s="5"/>
      <c r="Y2523" s="5"/>
      <c r="Z2523" s="5"/>
    </row>
    <row r="2524" spans="1:26" ht="15.6" x14ac:dyDescent="0.3">
      <c r="A2524" s="18" t="s">
        <v>5</v>
      </c>
      <c r="B2524" s="24" t="s">
        <v>2519</v>
      </c>
      <c r="C2524" s="2" t="str">
        <f ca="1">IFERROR(__xludf.DUMMYFUNCTION("GOOGLETRANSLATE(B2524, ""bn"", ""en"")"),"In July 2018, 21 people were killed in police firing during protests where a group expelled minorities from a school due to religious hatred.")</f>
        <v>In July 2018, 21 people were killed in police firing during protests where a group expelled minorities from a school due to religious hatred.</v>
      </c>
      <c r="D2524" s="5"/>
      <c r="E2524" s="5"/>
      <c r="F2524" s="5"/>
      <c r="G2524" s="5"/>
      <c r="H2524" s="5"/>
      <c r="I2524" s="5"/>
      <c r="J2524" s="5"/>
      <c r="K2524" s="5"/>
      <c r="L2524" s="5"/>
      <c r="M2524" s="5"/>
      <c r="N2524" s="5"/>
      <c r="O2524" s="5"/>
      <c r="P2524" s="5"/>
      <c r="Q2524" s="5"/>
      <c r="R2524" s="5"/>
      <c r="S2524" s="5"/>
      <c r="T2524" s="5"/>
      <c r="U2524" s="5"/>
      <c r="V2524" s="5"/>
      <c r="W2524" s="5"/>
      <c r="X2524" s="5"/>
      <c r="Y2524" s="5"/>
      <c r="Z2524" s="5"/>
    </row>
    <row r="2525" spans="1:26" ht="15.6" x14ac:dyDescent="0.3">
      <c r="A2525" s="18" t="s">
        <v>23</v>
      </c>
      <c r="B2525" s="25" t="s">
        <v>2520</v>
      </c>
      <c r="C2525" s="2" t="str">
        <f ca="1">IFERROR(__xludf.DUMMYFUNCTION("GOOGLETRANSLATE(B2525, ""bn"", ""en"")"),"As phenyl is to germs to eradicate those who misrepresent religion in the name of jihad, tough resistance is needed to prevent this fanatical carnage.")</f>
        <v>As phenyl is to germs to eradicate those who misrepresent religion in the name of jihad, tough resistance is needed to prevent this fanatical carnage.</v>
      </c>
      <c r="D2525" s="5"/>
      <c r="E2525" s="5"/>
      <c r="F2525" s="5"/>
      <c r="G2525" s="5"/>
      <c r="H2525" s="5"/>
      <c r="I2525" s="5"/>
      <c r="J2525" s="5"/>
      <c r="K2525" s="5"/>
      <c r="L2525" s="5"/>
      <c r="M2525" s="5"/>
      <c r="N2525" s="5"/>
      <c r="O2525" s="5"/>
      <c r="P2525" s="5"/>
      <c r="Q2525" s="5"/>
      <c r="R2525" s="5"/>
      <c r="S2525" s="5"/>
      <c r="T2525" s="5"/>
      <c r="U2525" s="5"/>
      <c r="V2525" s="5"/>
      <c r="W2525" s="5"/>
      <c r="X2525" s="5"/>
      <c r="Y2525" s="5"/>
      <c r="Z2525" s="5"/>
    </row>
    <row r="2526" spans="1:26" ht="15.6" x14ac:dyDescent="0.3">
      <c r="A2526" s="19" t="s">
        <v>5</v>
      </c>
      <c r="B2526" s="26" t="s">
        <v>2521</v>
      </c>
      <c r="C2526" s="2" t="str">
        <f ca="1">IFERROR(__xludf.DUMMYFUNCTION("GOOGLETRANSLATE(B2526, ""bn"", ""en"")"),"A senior journalist, Gauri Lankesh, was shot dead in front of her home in Bangalore on Tuesday night. Gauri Lankesh was an outspoken critic of the Hindu Right through her writings.")</f>
        <v>A senior journalist, Gauri Lankesh, was shot dead in front of her home in Bangalore on Tuesday night. Gauri Lankesh was an outspoken critic of the Hindu Right through her writings.</v>
      </c>
      <c r="D2526" s="5"/>
      <c r="E2526" s="5"/>
      <c r="F2526" s="5"/>
      <c r="G2526" s="5"/>
      <c r="H2526" s="5"/>
      <c r="I2526" s="5"/>
      <c r="J2526" s="5"/>
      <c r="K2526" s="5"/>
      <c r="L2526" s="5"/>
      <c r="M2526" s="5"/>
      <c r="N2526" s="5"/>
      <c r="O2526" s="5"/>
      <c r="P2526" s="5"/>
      <c r="Q2526" s="5"/>
      <c r="R2526" s="5"/>
      <c r="S2526" s="5"/>
      <c r="T2526" s="5"/>
      <c r="U2526" s="5"/>
      <c r="V2526" s="5"/>
      <c r="W2526" s="5"/>
      <c r="X2526" s="5"/>
      <c r="Y2526" s="5"/>
      <c r="Z2526" s="5"/>
    </row>
    <row r="2527" spans="1:26" ht="15.6" x14ac:dyDescent="0.3">
      <c r="A2527" s="18" t="s">
        <v>5</v>
      </c>
      <c r="B2527" s="24" t="s">
        <v>2522</v>
      </c>
      <c r="C2527" s="2" t="str">
        <f ca="1">IFERROR(__xludf.DUMMYFUNCTION("GOOGLETRANSLATE(B2527, ""bn"", ""en"")"),"33 killed in Jamalpur clash between religious groups; Many were injured.")</f>
        <v>33 killed in Jamalpur clash between religious groups; Many were injured.</v>
      </c>
      <c r="D2527" s="5"/>
      <c r="E2527" s="5"/>
      <c r="F2527" s="5"/>
      <c r="G2527" s="5"/>
      <c r="H2527" s="5"/>
      <c r="I2527" s="5"/>
      <c r="J2527" s="5"/>
      <c r="K2527" s="5"/>
      <c r="L2527" s="5"/>
      <c r="M2527" s="5"/>
      <c r="N2527" s="5"/>
      <c r="O2527" s="5"/>
      <c r="P2527" s="5"/>
      <c r="Q2527" s="5"/>
      <c r="R2527" s="5"/>
      <c r="S2527" s="5"/>
      <c r="T2527" s="5"/>
      <c r="U2527" s="5"/>
      <c r="V2527" s="5"/>
      <c r="W2527" s="5"/>
      <c r="X2527" s="5"/>
      <c r="Y2527" s="5"/>
      <c r="Z2527" s="5"/>
    </row>
    <row r="2528" spans="1:26" ht="15.6" x14ac:dyDescent="0.3">
      <c r="A2528" s="19" t="s">
        <v>23</v>
      </c>
      <c r="B2528" s="26" t="s">
        <v>2523</v>
      </c>
      <c r="C2528" s="2" t="str">
        <f ca="1">IFERROR(__xludf.DUMMYFUNCTION("GOOGLETRANSLATE(B2528, ""bn"", ""en"")"),"Because when no Hindu is condemning the desecration of Quran, Hindu organizations are not saying that they are not involved in this incident, they are against this incident, why do the broker's children say that it is the work of a third party?")</f>
        <v>Because when no Hindu is condemning the desecration of Quran, Hindu organizations are not saying that they are not involved in this incident, they are against this incident, why do the broker's children say that it is the work of a third party?</v>
      </c>
      <c r="D2528" s="5"/>
      <c r="E2528" s="5"/>
      <c r="F2528" s="5"/>
      <c r="G2528" s="5"/>
      <c r="H2528" s="5"/>
      <c r="I2528" s="5"/>
      <c r="J2528" s="5"/>
      <c r="K2528" s="5"/>
      <c r="L2528" s="5"/>
      <c r="M2528" s="5"/>
      <c r="N2528" s="5"/>
      <c r="O2528" s="5"/>
      <c r="P2528" s="5"/>
      <c r="Q2528" s="5"/>
      <c r="R2528" s="5"/>
      <c r="S2528" s="5"/>
      <c r="T2528" s="5"/>
      <c r="U2528" s="5"/>
      <c r="V2528" s="5"/>
      <c r="W2528" s="5"/>
      <c r="X2528" s="5"/>
      <c r="Y2528" s="5"/>
      <c r="Z2528" s="5"/>
    </row>
    <row r="2529" spans="1:26" ht="15.6" x14ac:dyDescent="0.3">
      <c r="A2529" s="18" t="s">
        <v>23</v>
      </c>
      <c r="B2529" s="25" t="s">
        <v>2524</v>
      </c>
      <c r="C2529" s="2" t="str">
        <f ca="1">IFERROR(__xludf.DUMMYFUNCTION("GOOGLETRANSLATE(B2529, ""bn"", ""en"")"),"There is no compromise on the question of insulting the Prophet. Rather, if you compromise on this matter, there is no right to remain a Muslim")</f>
        <v>There is no compromise on the question of insulting the Prophet. Rather, if you compromise on this matter, there is no right to remain a Muslim</v>
      </c>
      <c r="D2529" s="2"/>
      <c r="E2529" s="2"/>
      <c r="F2529" s="2"/>
      <c r="G2529" s="2"/>
      <c r="H2529" s="5"/>
      <c r="I2529" s="5"/>
      <c r="J2529" s="5"/>
      <c r="K2529" s="5"/>
      <c r="L2529" s="5"/>
      <c r="M2529" s="5"/>
      <c r="N2529" s="5"/>
      <c r="O2529" s="5"/>
      <c r="P2529" s="5"/>
      <c r="Q2529" s="5"/>
      <c r="R2529" s="5"/>
      <c r="S2529" s="5"/>
      <c r="T2529" s="5"/>
      <c r="U2529" s="5"/>
      <c r="V2529" s="5"/>
      <c r="W2529" s="5"/>
      <c r="X2529" s="5"/>
      <c r="Y2529" s="5"/>
      <c r="Z2529" s="5"/>
    </row>
    <row r="2530" spans="1:26" ht="15.6" x14ac:dyDescent="0.3">
      <c r="A2530" s="18" t="s">
        <v>23</v>
      </c>
      <c r="B2530" s="25" t="s">
        <v>2525</v>
      </c>
      <c r="C2530" s="2" t="str">
        <f ca="1">IFERROR(__xludf.DUMMYFUNCTION("GOOGLETRANSLATE(B2530, ""bn"", ""en"")"),"No Muslim will tolerate anyone doing wrong with the Qur'an. Those who slander Islam, seek forgiveness from Allah, or severe punishment awaits them.")</f>
        <v>No Muslim will tolerate anyone doing wrong with the Qur'an. Those who slander Islam, seek forgiveness from Allah, or severe punishment awaits them.</v>
      </c>
      <c r="D2530" s="2"/>
      <c r="E2530" s="2"/>
      <c r="F2530" s="2"/>
      <c r="G2530" s="2"/>
      <c r="H2530" s="3"/>
      <c r="I2530" s="3"/>
      <c r="J2530" s="3"/>
      <c r="K2530" s="3"/>
      <c r="L2530" s="3"/>
      <c r="M2530" s="3"/>
      <c r="N2530" s="3"/>
      <c r="O2530" s="3"/>
      <c r="P2530" s="3"/>
      <c r="Q2530" s="3"/>
      <c r="R2530" s="3"/>
      <c r="S2530" s="3"/>
      <c r="T2530" s="3"/>
      <c r="U2530" s="3"/>
      <c r="V2530" s="3"/>
      <c r="W2530" s="3"/>
      <c r="X2530" s="3"/>
      <c r="Y2530" s="3"/>
      <c r="Z2530" s="3"/>
    </row>
    <row r="2531" spans="1:26" ht="15.6" x14ac:dyDescent="0.3">
      <c r="A2531" s="18" t="s">
        <v>8</v>
      </c>
      <c r="B2531" s="25" t="s">
        <v>2526</v>
      </c>
      <c r="C2531" s="2" t="str">
        <f ca="1">IFERROR(__xludf.DUMMYFUNCTION("GOOGLETRANSLATE(B2531, ""bn"", ""en"")"),"The land was drenched in the blood of Buddhists by the Brahmin invasion, and the kings wearing the mask of peace in conversion erased the history of Buddhist extermination, as if Buddhism had never existed in Bangladesh.")</f>
        <v>The land was drenched in the blood of Buddhists by the Brahmin invasion, and the kings wearing the mask of peace in conversion erased the history of Buddhist extermination, as if Buddhism had never existed in Bangladesh.</v>
      </c>
      <c r="D2531" s="5"/>
      <c r="E2531" s="5"/>
      <c r="F2531" s="5"/>
      <c r="G2531" s="5"/>
      <c r="H2531" s="5"/>
      <c r="I2531" s="5"/>
      <c r="J2531" s="5"/>
      <c r="K2531" s="5"/>
      <c r="L2531" s="5"/>
      <c r="M2531" s="5"/>
      <c r="N2531" s="5"/>
      <c r="O2531" s="5"/>
      <c r="P2531" s="5"/>
      <c r="Q2531" s="5"/>
      <c r="R2531" s="5"/>
      <c r="S2531" s="5"/>
      <c r="T2531" s="5"/>
      <c r="U2531" s="5"/>
      <c r="V2531" s="5"/>
      <c r="W2531" s="5"/>
      <c r="X2531" s="5"/>
      <c r="Y2531" s="5"/>
      <c r="Z2531" s="5"/>
    </row>
    <row r="2532" spans="1:26" ht="15.6" x14ac:dyDescent="0.3">
      <c r="A2532" s="19" t="s">
        <v>5</v>
      </c>
      <c r="B2532" s="26" t="s">
        <v>2527</v>
      </c>
      <c r="C2532" s="2" t="str">
        <f ca="1">IFERROR(__xludf.DUMMYFUNCTION("GOOGLETRANSLATE(B2532, ""bn"", ""en"")"),"Nine people were killed in the bombing of the Baniachong Catholic Church in Gopalganj, one of the worst attacks on the minority Christian community in Bangladesh.")</f>
        <v>Nine people were killed in the bombing of the Baniachong Catholic Church in Gopalganj, one of the worst attacks on the minority Christian community in Bangladesh.</v>
      </c>
      <c r="D2532" s="5"/>
      <c r="E2532" s="5"/>
      <c r="F2532" s="5"/>
      <c r="G2532" s="5"/>
      <c r="H2532" s="5"/>
      <c r="I2532" s="5"/>
      <c r="J2532" s="5"/>
      <c r="K2532" s="5"/>
      <c r="L2532" s="5"/>
      <c r="M2532" s="5"/>
      <c r="N2532" s="5"/>
      <c r="O2532" s="5"/>
      <c r="P2532" s="5"/>
      <c r="Q2532" s="5"/>
      <c r="R2532" s="5"/>
      <c r="S2532" s="5"/>
      <c r="T2532" s="5"/>
      <c r="U2532" s="5"/>
      <c r="V2532" s="5"/>
      <c r="W2532" s="5"/>
      <c r="X2532" s="5"/>
      <c r="Y2532" s="5"/>
      <c r="Z2532" s="5"/>
    </row>
    <row r="2533" spans="1:26" ht="15.6" x14ac:dyDescent="0.3">
      <c r="A2533" s="18" t="s">
        <v>5</v>
      </c>
      <c r="B2533" s="24" t="s">
        <v>2528</v>
      </c>
      <c r="C2533" s="2" t="str">
        <f ca="1">IFERROR(__xludf.DUMMYFUNCTION("GOOGLETRANSLATE(B2533, ""bn"", ""en"")"),"On August 7, 2015, blogger Niladri Chattopadhyay was hacked to death at her residence in Dhaka.")</f>
        <v>On August 7, 2015, blogger Niladri Chattopadhyay was hacked to death at her residence in Dhaka.</v>
      </c>
      <c r="D2533" s="5"/>
      <c r="E2533" s="5"/>
      <c r="F2533" s="5"/>
      <c r="G2533" s="5"/>
      <c r="H2533" s="5"/>
      <c r="I2533" s="5"/>
      <c r="J2533" s="5"/>
      <c r="K2533" s="5"/>
      <c r="L2533" s="5"/>
      <c r="M2533" s="5"/>
      <c r="N2533" s="5"/>
      <c r="O2533" s="5"/>
      <c r="P2533" s="5"/>
      <c r="Q2533" s="5"/>
      <c r="R2533" s="5"/>
      <c r="S2533" s="5"/>
      <c r="T2533" s="5"/>
      <c r="U2533" s="5"/>
      <c r="V2533" s="5"/>
      <c r="W2533" s="5"/>
      <c r="X2533" s="5"/>
      <c r="Y2533" s="5"/>
      <c r="Z2533" s="5"/>
    </row>
    <row r="2534" spans="1:26" ht="15.6" x14ac:dyDescent="0.3">
      <c r="A2534" s="18" t="s">
        <v>23</v>
      </c>
      <c r="B2534" s="25" t="s">
        <v>2529</v>
      </c>
      <c r="C2534" s="2" t="str">
        <f ca="1">IFERROR(__xludf.DUMMYFUNCTION("GOOGLETRANSLATE(B2534, ""bn"", ""en"")"),"The full meaning of Islam is to maintain peace and harmony, but some people use Islam to achieve their own interests.")</f>
        <v>The full meaning of Islam is to maintain peace and harmony, but some people use Islam to achieve their own interests.</v>
      </c>
      <c r="D2534" s="2"/>
      <c r="E2534" s="2"/>
      <c r="F2534" s="2"/>
      <c r="G2534" s="2"/>
      <c r="H2534" s="3"/>
      <c r="I2534" s="3"/>
      <c r="J2534" s="3"/>
      <c r="K2534" s="3"/>
      <c r="L2534" s="3"/>
      <c r="M2534" s="3"/>
      <c r="N2534" s="3"/>
      <c r="O2534" s="3"/>
      <c r="P2534" s="3"/>
      <c r="Q2534" s="3"/>
      <c r="R2534" s="3"/>
      <c r="S2534" s="3"/>
      <c r="T2534" s="3"/>
      <c r="U2534" s="3"/>
      <c r="V2534" s="3"/>
      <c r="W2534" s="3"/>
      <c r="X2534" s="3"/>
      <c r="Y2534" s="3"/>
      <c r="Z2534" s="3"/>
    </row>
    <row r="2535" spans="1:26" ht="15.6" x14ac:dyDescent="0.3">
      <c r="A2535" s="19" t="s">
        <v>3</v>
      </c>
      <c r="B2535" s="26" t="s">
        <v>2530</v>
      </c>
      <c r="C2535" s="2" t="str">
        <f ca="1">IFERROR(__xludf.DUMMYFUNCTION("GOOGLETRANSLATE(B2535, ""bn"", ""en"")"),"Women participating in sati daha wore special clothes and distributed jewelery before death.")</f>
        <v>Women participating in sati daha wore special clothes and distributed jewelery before death.</v>
      </c>
      <c r="D2535" s="7"/>
      <c r="E2535" s="7"/>
      <c r="F2535" s="5"/>
      <c r="G2535" s="5"/>
      <c r="H2535" s="5"/>
      <c r="I2535" s="5"/>
      <c r="J2535" s="5"/>
      <c r="K2535" s="5"/>
      <c r="L2535" s="5"/>
      <c r="M2535" s="5"/>
      <c r="N2535" s="5"/>
      <c r="O2535" s="5"/>
      <c r="P2535" s="5"/>
      <c r="Q2535" s="5"/>
      <c r="R2535" s="5"/>
      <c r="S2535" s="5"/>
      <c r="T2535" s="5"/>
      <c r="U2535" s="5"/>
      <c r="V2535" s="5"/>
      <c r="W2535" s="5"/>
      <c r="X2535" s="5"/>
      <c r="Y2535" s="5"/>
      <c r="Z2535" s="5"/>
    </row>
    <row r="2536" spans="1:26" ht="15.6" x14ac:dyDescent="0.3">
      <c r="A2536" s="18" t="s">
        <v>5</v>
      </c>
      <c r="B2536" s="25" t="s">
        <v>2531</v>
      </c>
      <c r="C2536" s="2" t="str">
        <f ca="1">IFERROR(__xludf.DUMMYFUNCTION("GOOGLETRANSLATE(B2536, ""bn"", ""en"")"),"About the indescribable torture of Hindu women in Noakhali, the condition of girls there is the worst. Many of them have seen their husbands killed and the killers of their husbands have converted and married them.")</f>
        <v>About the indescribable torture of Hindu women in Noakhali, the condition of girls there is the worst. Many of them have seen their husbands killed and the killers of their husbands have converted and married them.</v>
      </c>
      <c r="D2536" s="6"/>
      <c r="E2536" s="6"/>
      <c r="F2536" s="2"/>
      <c r="G2536" s="2"/>
      <c r="H2536" s="3"/>
      <c r="I2536" s="3"/>
      <c r="J2536" s="3"/>
      <c r="K2536" s="3"/>
      <c r="L2536" s="3"/>
      <c r="M2536" s="3"/>
      <c r="N2536" s="3"/>
      <c r="O2536" s="3"/>
      <c r="P2536" s="3"/>
      <c r="Q2536" s="3"/>
      <c r="R2536" s="3"/>
      <c r="S2536" s="3"/>
      <c r="T2536" s="3"/>
      <c r="U2536" s="3"/>
      <c r="V2536" s="3"/>
      <c r="W2536" s="3"/>
      <c r="X2536" s="3"/>
      <c r="Y2536" s="3"/>
      <c r="Z2536" s="3"/>
    </row>
    <row r="2537" spans="1:26" ht="15.6" x14ac:dyDescent="0.3">
      <c r="A2537" s="18" t="s">
        <v>23</v>
      </c>
      <c r="B2537" s="25" t="s">
        <v>2532</v>
      </c>
      <c r="C2537" s="2" t="str">
        <f ca="1">IFERROR(__xludf.DUMMYFUNCTION("GOOGLETRANSLATE(B2537, ""bn"", ""en"")"),"Atheist page Sanatani Army Version 2.0 removed for offensive posts about Islam and Muslim sisters")</f>
        <v>Atheist page Sanatani Army Version 2.0 removed for offensive posts about Islam and Muslim sisters</v>
      </c>
      <c r="D2537" s="5"/>
      <c r="E2537" s="5"/>
      <c r="F2537" s="5"/>
      <c r="G2537" s="5"/>
      <c r="H2537" s="5"/>
      <c r="I2537" s="5"/>
      <c r="J2537" s="5"/>
      <c r="K2537" s="5"/>
      <c r="L2537" s="5"/>
      <c r="M2537" s="5"/>
      <c r="N2537" s="5"/>
      <c r="O2537" s="5"/>
      <c r="P2537" s="5"/>
      <c r="Q2537" s="5"/>
      <c r="R2537" s="5"/>
      <c r="S2537" s="5"/>
      <c r="T2537" s="5"/>
      <c r="U2537" s="5"/>
      <c r="V2537" s="5"/>
      <c r="W2537" s="5"/>
      <c r="X2537" s="5"/>
      <c r="Y2537" s="5"/>
      <c r="Z2537" s="5"/>
    </row>
    <row r="2538" spans="1:26" ht="15.6" x14ac:dyDescent="0.3">
      <c r="A2538" s="18" t="s">
        <v>23</v>
      </c>
      <c r="B2538" s="25" t="s">
        <v>2533</v>
      </c>
      <c r="C2538" s="2" t="str">
        <f ca="1">IFERROR(__xludf.DUMMYFUNCTION("GOOGLETRANSLATE(B2538, ""bn"", ""en"")"),"Those who don't wear hats are not fit to be called Muslims, these mask wearers should be expelled from Muslim society.")</f>
        <v>Those who don't wear hats are not fit to be called Muslims, these mask wearers should be expelled from Muslim society.</v>
      </c>
      <c r="D2538" s="5"/>
      <c r="E2538" s="5"/>
      <c r="F2538" s="5"/>
      <c r="G2538" s="5"/>
      <c r="H2538" s="5"/>
      <c r="I2538" s="5"/>
      <c r="J2538" s="5"/>
      <c r="K2538" s="5"/>
      <c r="L2538" s="5"/>
      <c r="M2538" s="5"/>
      <c r="N2538" s="5"/>
      <c r="O2538" s="5"/>
      <c r="P2538" s="5"/>
      <c r="Q2538" s="5"/>
      <c r="R2538" s="5"/>
      <c r="S2538" s="5"/>
      <c r="T2538" s="5"/>
      <c r="U2538" s="5"/>
      <c r="V2538" s="5"/>
      <c r="W2538" s="5"/>
      <c r="X2538" s="5"/>
      <c r="Y2538" s="5"/>
      <c r="Z2538" s="5"/>
    </row>
    <row r="2539" spans="1:26" ht="15.6" x14ac:dyDescent="0.3">
      <c r="A2539" s="19" t="s">
        <v>5</v>
      </c>
      <c r="B2539" s="26" t="s">
        <v>2534</v>
      </c>
      <c r="C2539" s="2" t="str">
        <f ca="1">IFERROR(__xludf.DUMMYFUNCTION("GOOGLETRANSLATE(B2539, ""bn"", ""en"")"),"Bangladesh has witnessed 1,45 incidents of communal violence and persecution in the last one year and at least 45 people from religious and ethnic minorities have died. This information is given in the report of Hindu Buddhist Christian Unity Council")</f>
        <v>Bangladesh has witnessed 1,45 incidents of communal violence and persecution in the last one year and at least 45 people from religious and ethnic minorities have died. This information is given in the report of Hindu Buddhist Christian Unity Council</v>
      </c>
      <c r="D2539" s="5"/>
      <c r="E2539" s="5"/>
      <c r="F2539" s="5"/>
      <c r="G2539" s="5"/>
      <c r="H2539" s="5"/>
      <c r="I2539" s="5"/>
      <c r="J2539" s="5"/>
      <c r="K2539" s="5"/>
      <c r="L2539" s="5"/>
      <c r="M2539" s="5"/>
      <c r="N2539" s="5"/>
      <c r="O2539" s="5"/>
      <c r="P2539" s="5"/>
      <c r="Q2539" s="5"/>
      <c r="R2539" s="5"/>
      <c r="S2539" s="5"/>
      <c r="T2539" s="5"/>
      <c r="U2539" s="5"/>
      <c r="V2539" s="5"/>
      <c r="W2539" s="5"/>
      <c r="X2539" s="5"/>
      <c r="Y2539" s="5"/>
      <c r="Z2539" s="5"/>
    </row>
    <row r="2540" spans="1:26" ht="15.6" x14ac:dyDescent="0.3">
      <c r="A2540" s="18" t="s">
        <v>23</v>
      </c>
      <c r="B2540" s="25" t="s">
        <v>2535</v>
      </c>
      <c r="C2540" s="2" t="str">
        <f ca="1">IFERROR(__xludf.DUMMYFUNCTION("GOOGLETRANSLATE(B2540, ""bn"", ""en"")"),"All kinds of religious talk and religiously offensive talkers should be banned. People should talk rationally about pure science.")</f>
        <v>All kinds of religious talk and religiously offensive talkers should be banned. People should talk rationally about pure science.</v>
      </c>
      <c r="D2540" s="5"/>
      <c r="E2540" s="5"/>
      <c r="F2540" s="5"/>
      <c r="G2540" s="5"/>
      <c r="H2540" s="5"/>
      <c r="I2540" s="5"/>
      <c r="J2540" s="5"/>
      <c r="K2540" s="5"/>
      <c r="L2540" s="5"/>
      <c r="M2540" s="5"/>
      <c r="N2540" s="5"/>
      <c r="O2540" s="5"/>
      <c r="P2540" s="5"/>
      <c r="Q2540" s="5"/>
      <c r="R2540" s="5"/>
      <c r="S2540" s="5"/>
      <c r="T2540" s="5"/>
      <c r="U2540" s="5"/>
      <c r="V2540" s="5"/>
      <c r="W2540" s="5"/>
      <c r="X2540" s="5"/>
      <c r="Y2540" s="5"/>
      <c r="Z2540" s="5"/>
    </row>
    <row r="2541" spans="1:26" ht="15.6" x14ac:dyDescent="0.3">
      <c r="A2541" s="18" t="s">
        <v>8</v>
      </c>
      <c r="B2541" s="24" t="s">
        <v>2536</v>
      </c>
      <c r="C2541" s="2" t="str">
        <f ca="1">IFERROR(__xludf.DUMMYFUNCTION("GOOGLETRANSLATE(B2541, ""bn"", ""en"")"),"On March 11, 2023, miscreants broke into an ancient Shiva temple at Amtali in Barguna, breaking the Shiva linga and smashing the stone lion idol in the temple premises.")</f>
        <v>On March 11, 2023, miscreants broke into an ancient Shiva temple at Amtali in Barguna, breaking the Shiva linga and smashing the stone lion idol in the temple premises.</v>
      </c>
      <c r="D2541" s="5"/>
      <c r="E2541" s="5"/>
      <c r="F2541" s="5"/>
      <c r="G2541" s="5"/>
      <c r="H2541" s="5"/>
      <c r="I2541" s="5"/>
      <c r="J2541" s="5"/>
      <c r="K2541" s="5"/>
      <c r="L2541" s="5"/>
      <c r="M2541" s="5"/>
      <c r="N2541" s="5"/>
      <c r="O2541" s="5"/>
      <c r="P2541" s="5"/>
      <c r="Q2541" s="5"/>
      <c r="R2541" s="5"/>
      <c r="S2541" s="5"/>
      <c r="T2541" s="5"/>
      <c r="U2541" s="5"/>
      <c r="V2541" s="5"/>
      <c r="W2541" s="5"/>
      <c r="X2541" s="5"/>
      <c r="Y2541" s="5"/>
      <c r="Z2541" s="5"/>
    </row>
    <row r="2542" spans="1:26" ht="15.6" x14ac:dyDescent="0.3">
      <c r="A2542" s="19" t="s">
        <v>8</v>
      </c>
      <c r="B2542" s="26" t="s">
        <v>2537</v>
      </c>
      <c r="C2542" s="2" t="str">
        <f ca="1">IFERROR(__xludf.DUMMYFUNCTION("GOOGLETRANSLATE(B2542, ""bn"", ""en"")"),"In Noakhali, some houses of the minority community were set on fire due to a rumour. The holy books kept inside the temple were torn.")</f>
        <v>In Noakhali, some houses of the minority community were set on fire due to a rumour. The holy books kept inside the temple were torn.</v>
      </c>
      <c r="D2542" s="5"/>
      <c r="E2542" s="5"/>
      <c r="F2542" s="5"/>
      <c r="G2542" s="5"/>
      <c r="H2542" s="5"/>
      <c r="I2542" s="5"/>
      <c r="J2542" s="5"/>
      <c r="K2542" s="5"/>
      <c r="L2542" s="5"/>
      <c r="M2542" s="5"/>
      <c r="N2542" s="5"/>
      <c r="O2542" s="5"/>
      <c r="P2542" s="5"/>
      <c r="Q2542" s="5"/>
      <c r="R2542" s="5"/>
      <c r="S2542" s="5"/>
      <c r="T2542" s="5"/>
      <c r="U2542" s="5"/>
      <c r="V2542" s="5"/>
      <c r="W2542" s="5"/>
      <c r="X2542" s="5"/>
      <c r="Y2542" s="5"/>
      <c r="Z2542" s="5"/>
    </row>
    <row r="2543" spans="1:26" ht="15.6" x14ac:dyDescent="0.3">
      <c r="A2543" s="19" t="s">
        <v>5</v>
      </c>
      <c r="B2543" s="26" t="s">
        <v>2538</v>
      </c>
      <c r="C2543" s="2" t="str">
        <f ca="1">IFERROR(__xludf.DUMMYFUNCTION("GOOGLETRANSLATE(B2543, ""bn"", ""en"")"),"A girl is kidnapped and raped and sent back home disfigured and unconscious. On the night of February 15, two unmarried girls were raped in Dhaka South.")</f>
        <v>A girl is kidnapped and raped and sent back home disfigured and unconscious. On the night of February 15, two unmarried girls were raped in Dhaka South.</v>
      </c>
      <c r="D2543" s="7"/>
      <c r="E2543" s="7"/>
      <c r="F2543" s="7"/>
      <c r="G2543" s="7"/>
      <c r="H2543" s="7"/>
      <c r="I2543" s="7"/>
      <c r="J2543" s="7"/>
      <c r="K2543" s="7"/>
      <c r="L2543" s="7"/>
      <c r="M2543" s="7"/>
      <c r="N2543" s="5"/>
      <c r="O2543" s="5"/>
      <c r="P2543" s="5"/>
      <c r="Q2543" s="5"/>
      <c r="R2543" s="5"/>
      <c r="S2543" s="5"/>
      <c r="T2543" s="5"/>
      <c r="U2543" s="5"/>
      <c r="V2543" s="5"/>
      <c r="W2543" s="5"/>
      <c r="X2543" s="5"/>
      <c r="Y2543" s="5"/>
      <c r="Z2543" s="5"/>
    </row>
    <row r="2544" spans="1:26" ht="15.6" x14ac:dyDescent="0.3">
      <c r="A2544" s="18" t="s">
        <v>3</v>
      </c>
      <c r="B2544" s="25" t="s">
        <v>2539</v>
      </c>
      <c r="C2544" s="2" t="str">
        <f ca="1">IFERROR(__xludf.DUMMYFUNCTION("GOOGLETRANSLATE(B2544, ""bn"", ""en"")"),"The rite with support in Vedic texts was ""symbolic self-immolation"" which was believed to be the dignity required for a widow to perform on her husband's death, with the widow subsequently marrying her husband's brother.")</f>
        <v>The rite with support in Vedic texts was "symbolic self-immolation" which was believed to be the dignity required for a widow to perform on her husband's death, with the widow subsequently marrying her husband's brother.</v>
      </c>
      <c r="D2544" s="7"/>
      <c r="E2544" s="5"/>
      <c r="F2544" s="5"/>
      <c r="G2544" s="5"/>
      <c r="H2544" s="5"/>
      <c r="I2544" s="5"/>
      <c r="J2544" s="5"/>
      <c r="K2544" s="5"/>
      <c r="L2544" s="5"/>
      <c r="M2544" s="5"/>
      <c r="N2544" s="5"/>
      <c r="O2544" s="5"/>
      <c r="P2544" s="5"/>
      <c r="Q2544" s="5"/>
      <c r="R2544" s="5"/>
      <c r="S2544" s="5"/>
      <c r="T2544" s="5"/>
      <c r="U2544" s="5"/>
      <c r="V2544" s="5"/>
      <c r="W2544" s="5"/>
      <c r="X2544" s="5"/>
      <c r="Y2544" s="5"/>
      <c r="Z2544" s="5"/>
    </row>
    <row r="2545" spans="1:26" ht="15.6" x14ac:dyDescent="0.3">
      <c r="A2545" s="19" t="s">
        <v>3</v>
      </c>
      <c r="B2545" s="26" t="s">
        <v>2540</v>
      </c>
      <c r="C2545" s="2" t="str">
        <f ca="1">IFERROR(__xludf.DUMMYFUNCTION("GOOGLETRANSLATE(B2545, ""bn"", ""en"")"),"Putin likes some of his work; May Allah give him peace to respect the Quran.")</f>
        <v>Putin likes some of his work; May Allah give him peace to respect the Quran.</v>
      </c>
      <c r="D2545" s="7"/>
      <c r="E2545" s="7"/>
      <c r="F2545" s="7"/>
      <c r="G2545" s="5"/>
      <c r="H2545" s="5"/>
      <c r="I2545" s="5"/>
      <c r="J2545" s="5"/>
      <c r="K2545" s="5"/>
      <c r="L2545" s="5"/>
      <c r="M2545" s="5"/>
      <c r="N2545" s="5"/>
      <c r="O2545" s="5"/>
      <c r="P2545" s="5"/>
      <c r="Q2545" s="5"/>
      <c r="R2545" s="5"/>
      <c r="S2545" s="5"/>
      <c r="T2545" s="5"/>
      <c r="U2545" s="5"/>
      <c r="V2545" s="5"/>
      <c r="W2545" s="5"/>
      <c r="X2545" s="5"/>
      <c r="Y2545" s="5"/>
      <c r="Z2545" s="5"/>
    </row>
    <row r="2546" spans="1:26" ht="15.6" x14ac:dyDescent="0.3">
      <c r="A2546" s="18" t="s">
        <v>23</v>
      </c>
      <c r="B2546" s="25" t="s">
        <v>2541</v>
      </c>
      <c r="C2546" s="2" t="str">
        <f ca="1">IFERROR(__xludf.DUMMYFUNCTION("GOOGLETRANSLATE(B2546, ""bn"", ""en"")"),"At present, we Muslim countries have become agents of the West, so this is the situation of Muslim brothers today.")</f>
        <v>At present, we Muslim countries have become agents of the West, so this is the situation of Muslim brothers today.</v>
      </c>
      <c r="D2546" s="2"/>
      <c r="E2546" s="2"/>
      <c r="F2546" s="2"/>
      <c r="G2546" s="2"/>
      <c r="H2546" s="3"/>
      <c r="I2546" s="3"/>
      <c r="J2546" s="3"/>
      <c r="K2546" s="3"/>
      <c r="L2546" s="3"/>
      <c r="M2546" s="3"/>
      <c r="N2546" s="3"/>
      <c r="O2546" s="3"/>
      <c r="P2546" s="3"/>
      <c r="Q2546" s="3"/>
      <c r="R2546" s="3"/>
      <c r="S2546" s="3"/>
      <c r="T2546" s="3"/>
      <c r="U2546" s="3"/>
      <c r="V2546" s="3"/>
      <c r="W2546" s="3"/>
      <c r="X2546" s="3"/>
      <c r="Y2546" s="3"/>
      <c r="Z2546" s="3"/>
    </row>
    <row r="2547" spans="1:26" ht="15.6" x14ac:dyDescent="0.3">
      <c r="A2547" s="18" t="s">
        <v>3</v>
      </c>
      <c r="B2547" s="25" t="s">
        <v>2542</v>
      </c>
      <c r="C2547" s="2" t="str">
        <f ca="1">IFERROR(__xludf.DUMMYFUNCTION("GOOGLETRANSLATE(B2547, ""bn"", ""en"")"),"Who gave you the right to insult millions of people? If you do not fast, you will be accountable to Allah, not to people.")</f>
        <v>Who gave you the right to insult millions of people? If you do not fast, you will be accountable to Allah, not to people.</v>
      </c>
      <c r="D2547" s="5"/>
      <c r="E2547" s="5"/>
      <c r="F2547" s="5"/>
      <c r="G2547" s="5"/>
      <c r="H2547" s="5"/>
      <c r="I2547" s="5"/>
      <c r="J2547" s="5"/>
      <c r="K2547" s="5"/>
      <c r="L2547" s="5"/>
      <c r="M2547" s="5"/>
      <c r="N2547" s="5"/>
      <c r="O2547" s="5"/>
      <c r="P2547" s="5"/>
      <c r="Q2547" s="5"/>
      <c r="R2547" s="5"/>
      <c r="S2547" s="5"/>
      <c r="T2547" s="5"/>
      <c r="U2547" s="5"/>
      <c r="V2547" s="5"/>
      <c r="W2547" s="5"/>
      <c r="X2547" s="5"/>
      <c r="Y2547" s="5"/>
      <c r="Z2547" s="5"/>
    </row>
    <row r="2548" spans="1:26" ht="15.6" x14ac:dyDescent="0.3">
      <c r="A2548" s="19" t="s">
        <v>23</v>
      </c>
      <c r="B2548" s="26" t="s">
        <v>2543</v>
      </c>
      <c r="C2548" s="2" t="str">
        <f ca="1">IFERROR(__xludf.DUMMYFUNCTION("GOOGLETRANSLATE(B2548, ""bn"", ""en"")"),"And open power generation companies. Where we are determined to deliver electricity to everyone's homes regardless of religion")</f>
        <v>And open power generation companies. Where we are determined to deliver electricity to everyone's homes regardless of religion</v>
      </c>
      <c r="D2548" s="5"/>
      <c r="E2548" s="5"/>
      <c r="F2548" s="5"/>
      <c r="G2548" s="5"/>
      <c r="H2548" s="5"/>
      <c r="I2548" s="5"/>
      <c r="J2548" s="5"/>
      <c r="K2548" s="5"/>
      <c r="L2548" s="5"/>
      <c r="M2548" s="5"/>
      <c r="N2548" s="5"/>
      <c r="O2548" s="5"/>
      <c r="P2548" s="5"/>
      <c r="Q2548" s="5"/>
      <c r="R2548" s="5"/>
      <c r="S2548" s="5"/>
      <c r="T2548" s="5"/>
      <c r="U2548" s="5"/>
      <c r="V2548" s="5"/>
      <c r="W2548" s="5"/>
      <c r="X2548" s="5"/>
      <c r="Y2548" s="5"/>
      <c r="Z2548" s="5"/>
    </row>
    <row r="2549" spans="1:26" ht="15.6" x14ac:dyDescent="0.3">
      <c r="A2549" s="18" t="s">
        <v>3</v>
      </c>
      <c r="B2549" s="25" t="s">
        <v>2544</v>
      </c>
      <c r="C2549" s="2" t="str">
        <f ca="1">IFERROR(__xludf.DUMMYFUNCTION("GOOGLETRANSLATE(B2549, ""bn"", ""en"")"),"""People often ask me when and how I became a Muslim,"" he wrote in his autobiography.")</f>
        <v>"People often ask me when and how I became a Muslim," he wrote in his autobiography.</v>
      </c>
      <c r="D2549" s="5"/>
      <c r="E2549" s="5"/>
      <c r="F2549" s="5"/>
      <c r="G2549" s="5"/>
      <c r="H2549" s="5"/>
      <c r="I2549" s="5"/>
      <c r="J2549" s="5"/>
      <c r="K2549" s="5"/>
      <c r="L2549" s="5"/>
      <c r="M2549" s="5"/>
      <c r="N2549" s="5"/>
      <c r="O2549" s="5"/>
      <c r="P2549" s="5"/>
      <c r="Q2549" s="5"/>
      <c r="R2549" s="5"/>
      <c r="S2549" s="5"/>
      <c r="T2549" s="5"/>
      <c r="U2549" s="5"/>
      <c r="V2549" s="5"/>
      <c r="W2549" s="5"/>
      <c r="X2549" s="5"/>
      <c r="Y2549" s="5"/>
      <c r="Z2549" s="5"/>
    </row>
    <row r="2550" spans="1:26" ht="15.6" x14ac:dyDescent="0.3">
      <c r="A2550" s="18" t="s">
        <v>8</v>
      </c>
      <c r="B2550" s="25" t="s">
        <v>2545</v>
      </c>
      <c r="C2550" s="2" t="str">
        <f ca="1">IFERROR(__xludf.DUMMYFUNCTION("GOOGLETRANSLATE(B2550, ""bn"", ""en"")"),"As a result of the inexplicable persecution of Hindus in 1990, many places became Hindu-free and Hindus were displaced from many places. The Hindus of Chittagong's hills lost all their support and homes and took refuge in the refugee camp of Kaivalyadham "&amp;"temple on the hill.")</f>
        <v>As a result of the inexplicable persecution of Hindus in 1990, many places became Hindu-free and Hindus were displaced from many places. The Hindus of Chittagong's hills lost all their support and homes and took refuge in the refugee camp of Kaivalyadham temple on the hill.</v>
      </c>
      <c r="D2550" s="5"/>
      <c r="E2550" s="5"/>
      <c r="F2550" s="5"/>
      <c r="G2550" s="5"/>
      <c r="H2550" s="5"/>
      <c r="I2550" s="5"/>
      <c r="J2550" s="5"/>
      <c r="K2550" s="5"/>
      <c r="L2550" s="5"/>
      <c r="M2550" s="5"/>
      <c r="N2550" s="5"/>
      <c r="O2550" s="5"/>
      <c r="P2550" s="5"/>
      <c r="Q2550" s="5"/>
      <c r="R2550" s="5"/>
      <c r="S2550" s="5"/>
      <c r="T2550" s="5"/>
      <c r="U2550" s="5"/>
      <c r="V2550" s="5"/>
      <c r="W2550" s="5"/>
      <c r="X2550" s="5"/>
      <c r="Y2550" s="5"/>
      <c r="Z2550" s="5"/>
    </row>
    <row r="2551" spans="1:26" ht="15.6" x14ac:dyDescent="0.3">
      <c r="A2551" s="18" t="s">
        <v>23</v>
      </c>
      <c r="B2551" s="25" t="s">
        <v>2546</v>
      </c>
      <c r="C2551" s="2" t="str">
        <f ca="1">IFERROR(__xludf.DUMMYFUNCTION("GOOGLETRANSLATE(B2551, ""bn"", ""en"")"),"Those who insult Islam do not speak against the culprits when they happen and those who come to explain the geography to Muslims are also responsible for these incidents.")</f>
        <v>Those who insult Islam do not speak against the culprits when they happen and those who come to explain the geography to Muslims are also responsible for these incidents.</v>
      </c>
      <c r="D2551" s="5"/>
      <c r="E2551" s="5"/>
      <c r="F2551" s="5"/>
      <c r="G2551" s="5"/>
      <c r="H2551" s="5"/>
      <c r="I2551" s="5"/>
      <c r="J2551" s="5"/>
      <c r="K2551" s="5"/>
      <c r="L2551" s="5"/>
      <c r="M2551" s="5"/>
      <c r="N2551" s="5"/>
      <c r="O2551" s="5"/>
      <c r="P2551" s="5"/>
      <c r="Q2551" s="5"/>
      <c r="R2551" s="5"/>
      <c r="S2551" s="5"/>
      <c r="T2551" s="5"/>
      <c r="U2551" s="5"/>
      <c r="V2551" s="5"/>
      <c r="W2551" s="5"/>
      <c r="X2551" s="5"/>
      <c r="Y2551" s="5"/>
      <c r="Z2551" s="5"/>
    </row>
    <row r="2552" spans="1:26" ht="15.6" x14ac:dyDescent="0.3">
      <c r="A2552" s="18" t="s">
        <v>3</v>
      </c>
      <c r="B2552" s="25" t="s">
        <v>2547</v>
      </c>
      <c r="C2552" s="2" t="str">
        <f ca="1">IFERROR(__xludf.DUMMYFUNCTION("GOOGLETRANSLATE(B2552, ""bn"", ""en"")"),"Alhamdulillah for all that I have gained and all that I have lost,,,,Allah does for good because not even a leaf of a tree moves without Allah's command.")</f>
        <v>Alhamdulillah for all that I have gained and all that I have lost,,,,Allah does for good because not even a leaf of a tree moves without Allah's command.</v>
      </c>
      <c r="D2552" s="5"/>
      <c r="E2552" s="5"/>
      <c r="F2552" s="5"/>
      <c r="G2552" s="5"/>
      <c r="H2552" s="5"/>
      <c r="I2552" s="5"/>
      <c r="J2552" s="5"/>
      <c r="K2552" s="5"/>
      <c r="L2552" s="5"/>
      <c r="M2552" s="5"/>
      <c r="N2552" s="5"/>
      <c r="O2552" s="5"/>
      <c r="P2552" s="5"/>
      <c r="Q2552" s="5"/>
      <c r="R2552" s="5"/>
      <c r="S2552" s="5"/>
      <c r="T2552" s="5"/>
      <c r="U2552" s="5"/>
      <c r="V2552" s="5"/>
      <c r="W2552" s="5"/>
      <c r="X2552" s="5"/>
      <c r="Y2552" s="5"/>
      <c r="Z2552" s="5"/>
    </row>
    <row r="2553" spans="1:26" ht="15.6" x14ac:dyDescent="0.3">
      <c r="A2553" s="18" t="s">
        <v>3</v>
      </c>
      <c r="B2553" s="25" t="s">
        <v>2548</v>
      </c>
      <c r="C2553" s="2" t="str">
        <f ca="1">IFERROR(__xludf.DUMMYFUNCTION("GOOGLETRANSLATE(B2553, ""bn"", ""en"")"),"According to historians, Rasulullah SAW fought many battles during his lifetime which were part of self-defense and peace-making. His life was a symbol of courage and complete trust in Allah.")</f>
        <v>According to historians, Rasulullah SAW fought many battles during his lifetime which were part of self-defense and peace-making. His life was a symbol of courage and complete trust in Allah.</v>
      </c>
      <c r="D2553" s="5"/>
      <c r="E2553" s="5"/>
      <c r="F2553" s="5"/>
      <c r="G2553" s="5"/>
      <c r="H2553" s="5"/>
      <c r="I2553" s="5"/>
      <c r="J2553" s="5"/>
      <c r="K2553" s="5"/>
      <c r="L2553" s="5"/>
      <c r="M2553" s="5"/>
      <c r="N2553" s="5"/>
      <c r="O2553" s="5"/>
      <c r="P2553" s="5"/>
      <c r="Q2553" s="5"/>
      <c r="R2553" s="5"/>
      <c r="S2553" s="5"/>
      <c r="T2553" s="5"/>
      <c r="U2553" s="5"/>
      <c r="V2553" s="5"/>
      <c r="W2553" s="5"/>
      <c r="X2553" s="5"/>
      <c r="Y2553" s="5"/>
      <c r="Z2553" s="5"/>
    </row>
    <row r="2554" spans="1:26" ht="15.6" x14ac:dyDescent="0.3">
      <c r="A2554" s="18" t="s">
        <v>5</v>
      </c>
      <c r="B2554" s="25" t="s">
        <v>2549</v>
      </c>
      <c r="C2554" s="2" t="str">
        <f ca="1">IFERROR(__xludf.DUMMYFUNCTION("GOOGLETRANSLATE(B2554, ""bn"", ""en"")"),"In the name of religious custom, widows were forced to commit suicide by burning themselves alive after the death of their husbands, and those who refused to comply were subjected to social humiliation and humiliation.")</f>
        <v>In the name of religious custom, widows were forced to commit suicide by burning themselves alive after the death of their husbands, and those who refused to comply were subjected to social humiliation and humiliation.</v>
      </c>
      <c r="D2554" s="5"/>
      <c r="E2554" s="5"/>
      <c r="F2554" s="5"/>
      <c r="G2554" s="5"/>
      <c r="H2554" s="5"/>
      <c r="I2554" s="5"/>
      <c r="J2554" s="5"/>
      <c r="K2554" s="5"/>
      <c r="L2554" s="5"/>
      <c r="M2554" s="5"/>
      <c r="N2554" s="5"/>
      <c r="O2554" s="5"/>
      <c r="P2554" s="5"/>
      <c r="Q2554" s="5"/>
      <c r="R2554" s="5"/>
      <c r="S2554" s="5"/>
      <c r="T2554" s="5"/>
      <c r="U2554" s="5"/>
      <c r="V2554" s="5"/>
      <c r="W2554" s="5"/>
      <c r="X2554" s="5"/>
      <c r="Y2554" s="5"/>
      <c r="Z2554" s="5"/>
    </row>
    <row r="2555" spans="1:26" ht="15.6" x14ac:dyDescent="0.3">
      <c r="A2555" s="18" t="s">
        <v>5</v>
      </c>
      <c r="B2555" s="25" t="s">
        <v>2550</v>
      </c>
      <c r="C2555" s="2" t="str">
        <f ca="1">IFERROR(__xludf.DUMMYFUNCTION("GOOGLETRANSLATE(B2555, ""bn"", ""en"")"),"In 1987, many innocent people were killed in religious violence in Hashimpura. In 2015, the court acquitted 16 accused for lack of evidence.")</f>
        <v>In 1987, many innocent people were killed in religious violence in Hashimpura. In 2015, the court acquitted 16 accused for lack of evidence.</v>
      </c>
      <c r="D2555" s="5"/>
      <c r="E2555" s="5"/>
      <c r="F2555" s="5"/>
      <c r="G2555" s="5"/>
      <c r="H2555" s="5"/>
      <c r="I2555" s="5"/>
      <c r="J2555" s="5"/>
      <c r="K2555" s="5"/>
      <c r="L2555" s="5"/>
      <c r="M2555" s="5"/>
      <c r="N2555" s="5"/>
      <c r="O2555" s="5"/>
      <c r="P2555" s="5"/>
      <c r="Q2555" s="5"/>
      <c r="R2555" s="5"/>
      <c r="S2555" s="5"/>
      <c r="T2555" s="5"/>
      <c r="U2555" s="5"/>
      <c r="V2555" s="5"/>
      <c r="W2555" s="5"/>
      <c r="X2555" s="5"/>
      <c r="Y2555" s="5"/>
      <c r="Z2555" s="5"/>
    </row>
    <row r="2556" spans="1:26" ht="15.6" x14ac:dyDescent="0.3">
      <c r="A2556" s="18" t="s">
        <v>5</v>
      </c>
      <c r="B2556" s="25" t="s">
        <v>2551</v>
      </c>
      <c r="C2556" s="2" t="str">
        <f ca="1">IFERROR(__xludf.DUMMYFUNCTION("GOOGLETRANSLATE(B2556, ""bn"", ""en"")"),"Innocent people are committing suicide one after another in fear of religious persecution, who sang and cried before leaving, they know how cruel this death is and how cruel this country is.")</f>
        <v>Innocent people are committing suicide one after another in fear of religious persecution, who sang and cried before leaving, they know how cruel this death is and how cruel this country is.</v>
      </c>
      <c r="D2556" s="5"/>
      <c r="E2556" s="5"/>
      <c r="F2556" s="5"/>
      <c r="G2556" s="5"/>
      <c r="H2556" s="5"/>
      <c r="I2556" s="5"/>
      <c r="J2556" s="5"/>
      <c r="K2556" s="5"/>
      <c r="L2556" s="5"/>
      <c r="M2556" s="5"/>
      <c r="N2556" s="5"/>
      <c r="O2556" s="5"/>
      <c r="P2556" s="5"/>
      <c r="Q2556" s="5"/>
      <c r="R2556" s="5"/>
      <c r="S2556" s="5"/>
      <c r="T2556" s="5"/>
      <c r="U2556" s="5"/>
      <c r="V2556" s="5"/>
      <c r="W2556" s="5"/>
      <c r="X2556" s="5"/>
      <c r="Y2556" s="5"/>
      <c r="Z2556" s="5"/>
    </row>
    <row r="2557" spans="1:26" ht="15.6" x14ac:dyDescent="0.3">
      <c r="A2557" s="18" t="s">
        <v>8</v>
      </c>
      <c r="B2557" s="25" t="s">
        <v>2552</v>
      </c>
      <c r="C2557" s="2" t="str">
        <f ca="1">IFERROR(__xludf.DUMMYFUNCTION("GOOGLETRANSLATE(B2557, ""bn"", ""en"")"),"A total of 66 families were affected in this incident. Miscreants set fire to 7 tin houses, 9 brick houses, 4 mud houses, 2 shops and 25 houses and shops of these families. In addition to fire connection, these houses were looted and vandalized. Hindus fl"&amp;"ed the village for their lives.")</f>
        <v>A total of 66 families were affected in this incident. Miscreants set fire to 7 tin houses, 9 brick houses, 4 mud houses, 2 shops and 25 houses and shops of these families. In addition to fire connection, these houses were looted and vandalized. Hindus fled the village for their lives.</v>
      </c>
      <c r="D2557" s="5"/>
      <c r="E2557" s="5"/>
      <c r="F2557" s="5"/>
      <c r="G2557" s="5"/>
      <c r="H2557" s="5"/>
      <c r="I2557" s="5"/>
      <c r="J2557" s="5"/>
      <c r="K2557" s="5"/>
      <c r="L2557" s="5"/>
      <c r="M2557" s="5"/>
      <c r="N2557" s="5"/>
      <c r="O2557" s="5"/>
      <c r="P2557" s="5"/>
      <c r="Q2557" s="5"/>
      <c r="R2557" s="5"/>
      <c r="S2557" s="5"/>
      <c r="T2557" s="5"/>
      <c r="U2557" s="5"/>
      <c r="V2557" s="5"/>
      <c r="W2557" s="5"/>
      <c r="X2557" s="5"/>
      <c r="Y2557" s="5"/>
      <c r="Z2557" s="5"/>
    </row>
    <row r="2558" spans="1:26" ht="15.6" x14ac:dyDescent="0.3">
      <c r="A2558" s="18" t="s">
        <v>8</v>
      </c>
      <c r="B2558" s="25" t="s">
        <v>2553</v>
      </c>
      <c r="C2558" s="2" t="str">
        <f ca="1">IFERROR(__xludf.DUMMYFUNCTION("GOOGLETRANSLATE(B2558, ""bn"", ""en"")"),"The president of the consumer association of Subang and Shah Alam in Selangor state helped local authorities in the Muslim-majority town of Shah Alam demolish a 107-year-old Hindu temple.")</f>
        <v>The president of the consumer association of Subang and Shah Alam in Selangor state helped local authorities in the Muslim-majority town of Shah Alam demolish a 107-year-old Hindu temple.</v>
      </c>
      <c r="D2558" s="5"/>
      <c r="E2558" s="5"/>
      <c r="F2558" s="5"/>
      <c r="G2558" s="5"/>
      <c r="H2558" s="5"/>
      <c r="I2558" s="5"/>
      <c r="J2558" s="5"/>
      <c r="K2558" s="5"/>
      <c r="L2558" s="5"/>
      <c r="M2558" s="5"/>
      <c r="N2558" s="5"/>
      <c r="O2558" s="5"/>
      <c r="P2558" s="5"/>
      <c r="Q2558" s="5"/>
      <c r="R2558" s="5"/>
      <c r="S2558" s="5"/>
      <c r="T2558" s="5"/>
      <c r="U2558" s="5"/>
      <c r="V2558" s="5"/>
      <c r="W2558" s="5"/>
      <c r="X2558" s="5"/>
      <c r="Y2558" s="5"/>
      <c r="Z2558" s="5"/>
    </row>
    <row r="2559" spans="1:26" ht="15.6" x14ac:dyDescent="0.3">
      <c r="A2559" s="18" t="s">
        <v>3</v>
      </c>
      <c r="B2559" s="25" t="s">
        <v>2554</v>
      </c>
      <c r="C2559" s="2" t="str">
        <f ca="1">IFERROR(__xludf.DUMMYFUNCTION("GOOGLETRANSLATE(B2559, ""bn"", ""en"")"),"Gautama Buddha was right because those who have seen God never say anything clearly. Because God is out of reach. He cannot be called")</f>
        <v>Gautama Buddha was right because those who have seen God never say anything clearly. Because God is out of reach. He cannot be called</v>
      </c>
      <c r="D2559" s="5"/>
      <c r="E2559" s="5"/>
      <c r="F2559" s="5"/>
      <c r="G2559" s="5"/>
      <c r="H2559" s="5"/>
      <c r="I2559" s="5"/>
      <c r="J2559" s="5"/>
      <c r="K2559" s="5"/>
      <c r="L2559" s="5"/>
      <c r="M2559" s="5"/>
      <c r="N2559" s="5"/>
      <c r="O2559" s="5"/>
      <c r="P2559" s="5"/>
      <c r="Q2559" s="5"/>
      <c r="R2559" s="5"/>
      <c r="S2559" s="5"/>
      <c r="T2559" s="5"/>
      <c r="U2559" s="5"/>
      <c r="V2559" s="5"/>
      <c r="W2559" s="5"/>
      <c r="X2559" s="5"/>
      <c r="Y2559" s="5"/>
      <c r="Z2559" s="5"/>
    </row>
    <row r="2560" spans="1:26" ht="15.6" x14ac:dyDescent="0.3">
      <c r="A2560" s="18" t="s">
        <v>5</v>
      </c>
      <c r="B2560" s="24" t="s">
        <v>2555</v>
      </c>
      <c r="C2560" s="2" t="str">
        <f ca="1">IFERROR(__xludf.DUMMYFUNCTION("GOOGLETRANSLATE(B2560, ""bn"", ""en"")"),"In January 2019, a group of religious groups attacked minorities, killing 35 people.")</f>
        <v>In January 2019, a group of religious groups attacked minorities, killing 35 people.</v>
      </c>
      <c r="D2560" s="5"/>
      <c r="E2560" s="5"/>
      <c r="F2560" s="5"/>
      <c r="G2560" s="5"/>
      <c r="H2560" s="5"/>
      <c r="I2560" s="5"/>
      <c r="J2560" s="5"/>
      <c r="K2560" s="5"/>
      <c r="L2560" s="5"/>
      <c r="M2560" s="5"/>
      <c r="N2560" s="5"/>
      <c r="O2560" s="5"/>
      <c r="P2560" s="5"/>
      <c r="Q2560" s="5"/>
      <c r="R2560" s="5"/>
      <c r="S2560" s="5"/>
      <c r="T2560" s="5"/>
      <c r="U2560" s="5"/>
      <c r="V2560" s="5"/>
      <c r="W2560" s="5"/>
      <c r="X2560" s="5"/>
      <c r="Y2560" s="5"/>
      <c r="Z2560" s="5"/>
    </row>
    <row r="2561" spans="1:26" ht="15.6" x14ac:dyDescent="0.3">
      <c r="A2561" s="18" t="s">
        <v>3</v>
      </c>
      <c r="B2561" s="24" t="s">
        <v>2556</v>
      </c>
      <c r="C2561" s="2" t="str">
        <f ca="1">IFERROR(__xludf.DUMMYFUNCTION("GOOGLETRANSLATE(B2561, ""bn"", ""en"")"),"Kindness and forgiveness are important in Islam. The Prophet (PBUH) always forgave his opponents.")</f>
        <v>Kindness and forgiveness are important in Islam. The Prophet (PBUH) always forgave his opponents.</v>
      </c>
      <c r="D2561" s="5"/>
      <c r="E2561" s="5"/>
      <c r="F2561" s="5"/>
      <c r="G2561" s="5"/>
      <c r="H2561" s="5"/>
      <c r="I2561" s="5"/>
      <c r="J2561" s="5"/>
      <c r="K2561" s="5"/>
      <c r="L2561" s="5"/>
      <c r="M2561" s="5"/>
      <c r="N2561" s="5"/>
      <c r="O2561" s="5"/>
      <c r="P2561" s="5"/>
      <c r="Q2561" s="5"/>
      <c r="R2561" s="5"/>
      <c r="S2561" s="5"/>
      <c r="T2561" s="5"/>
      <c r="U2561" s="5"/>
      <c r="V2561" s="5"/>
      <c r="W2561" s="5"/>
      <c r="X2561" s="5"/>
      <c r="Y2561" s="5"/>
      <c r="Z2561" s="5"/>
    </row>
    <row r="2562" spans="1:26" ht="15.6" x14ac:dyDescent="0.3">
      <c r="A2562" s="18" t="s">
        <v>8</v>
      </c>
      <c r="B2562" s="25" t="s">
        <v>2557</v>
      </c>
      <c r="C2562" s="2" t="str">
        <f ca="1">IFERROR(__xludf.DUMMYFUNCTION("GOOGLETRANSLATE(B2562, ""bn"", ""en"")"),"On 1 October an armed Muslim mob attacked a foreign embassy in Bangladesh in Dhaka and brutally beat and injured a Hindu gentleman waiting outside the embassy; After that evening law was promulgated all over Dhaka")</f>
        <v>On 1 October an armed Muslim mob attacked a foreign embassy in Bangladesh in Dhaka and brutally beat and injured a Hindu gentleman waiting outside the embassy; After that evening law was promulgated all over Dhaka</v>
      </c>
      <c r="D2562" s="2"/>
      <c r="E2562" s="2"/>
      <c r="F2562" s="2"/>
      <c r="G2562" s="2"/>
      <c r="H2562" s="3"/>
      <c r="I2562" s="3"/>
      <c r="J2562" s="3"/>
      <c r="K2562" s="3"/>
      <c r="L2562" s="3"/>
      <c r="M2562" s="3"/>
      <c r="N2562" s="3"/>
      <c r="O2562" s="3"/>
      <c r="P2562" s="3"/>
      <c r="Q2562" s="3"/>
      <c r="R2562" s="3"/>
      <c r="S2562" s="3"/>
      <c r="T2562" s="3"/>
      <c r="U2562" s="3"/>
      <c r="V2562" s="3"/>
      <c r="W2562" s="3"/>
      <c r="X2562" s="3"/>
      <c r="Y2562" s="3"/>
      <c r="Z2562" s="3"/>
    </row>
    <row r="2563" spans="1:26" ht="15.6" x14ac:dyDescent="0.3">
      <c r="A2563" s="19" t="s">
        <v>23</v>
      </c>
      <c r="B2563" s="26" t="s">
        <v>2558</v>
      </c>
      <c r="C2563" s="2" t="str">
        <f ca="1">IFERROR(__xludf.DUMMYFUNCTION("GOOGLETRANSLATE(B2563, ""bn"", ""en"")"),"They don't have any problem if you worship, celebrate full moon or celebrate Christmas or party in the name of cultural events but if you go to recite Quran, their penises will be burnt.")</f>
        <v>They don't have any problem if you worship, celebrate full moon or celebrate Christmas or party in the name of cultural events but if you go to recite Quran, their penises will be burnt.</v>
      </c>
      <c r="D2563" s="5"/>
      <c r="E2563" s="5"/>
      <c r="F2563" s="5"/>
      <c r="G2563" s="5"/>
      <c r="H2563" s="5"/>
      <c r="I2563" s="5"/>
      <c r="J2563" s="5"/>
      <c r="K2563" s="5"/>
      <c r="L2563" s="5"/>
      <c r="M2563" s="5"/>
      <c r="N2563" s="5"/>
      <c r="O2563" s="5"/>
      <c r="P2563" s="5"/>
      <c r="Q2563" s="5"/>
      <c r="R2563" s="5"/>
      <c r="S2563" s="5"/>
      <c r="T2563" s="5"/>
      <c r="U2563" s="5"/>
      <c r="V2563" s="5"/>
      <c r="W2563" s="5"/>
      <c r="X2563" s="5"/>
      <c r="Y2563" s="5"/>
      <c r="Z2563" s="5"/>
    </row>
    <row r="2564" spans="1:26" ht="15.6" x14ac:dyDescent="0.3">
      <c r="A2564" s="19" t="s">
        <v>5</v>
      </c>
      <c r="B2564" s="26" t="s">
        <v>2559</v>
      </c>
      <c r="C2564" s="2" t="str">
        <f ca="1">IFERROR(__xludf.DUMMYFUNCTION("GOOGLETRANSLATE(B2564, ""bn"", ""en"")"),"The first major religious war took place between the two sects. The victory increased the power of the Muslims.")</f>
        <v>The first major religious war took place between the two sects. The victory increased the power of the Muslims.</v>
      </c>
      <c r="D2564" s="7"/>
      <c r="E2564" s="7"/>
      <c r="F2564" s="7"/>
      <c r="G2564" s="5"/>
      <c r="H2564" s="5"/>
      <c r="I2564" s="5"/>
      <c r="J2564" s="5"/>
      <c r="K2564" s="5"/>
      <c r="L2564" s="5"/>
      <c r="M2564" s="5"/>
      <c r="N2564" s="5"/>
      <c r="O2564" s="5"/>
      <c r="P2564" s="5"/>
      <c r="Q2564" s="5"/>
      <c r="R2564" s="5"/>
      <c r="S2564" s="5"/>
      <c r="T2564" s="5"/>
      <c r="U2564" s="5"/>
      <c r="V2564" s="5"/>
      <c r="W2564" s="5"/>
      <c r="X2564" s="5"/>
      <c r="Y2564" s="5"/>
      <c r="Z2564" s="5"/>
    </row>
    <row r="2565" spans="1:26" ht="15.6" x14ac:dyDescent="0.3">
      <c r="A2565" s="18" t="s">
        <v>3</v>
      </c>
      <c r="B2565" s="25" t="s">
        <v>2560</v>
      </c>
      <c r="C2565" s="2" t="str">
        <f ca="1">IFERROR(__xludf.DUMMYFUNCTION("GOOGLETRANSLATE(B2565, ""bn"", ""en"")"),"By obeying Allah's orders, we gain peace and spiritual peace in this worldly life, and Allah's mercy in the Hereafter.")</f>
        <v>By obeying Allah's orders, we gain peace and spiritual peace in this worldly life, and Allah's mercy in the Hereafter.</v>
      </c>
      <c r="D2565" s="2"/>
      <c r="E2565" s="2"/>
      <c r="F2565" s="2"/>
      <c r="G2565" s="2"/>
      <c r="H2565" s="3"/>
      <c r="I2565" s="3"/>
      <c r="J2565" s="3"/>
      <c r="K2565" s="3"/>
      <c r="L2565" s="3"/>
      <c r="M2565" s="3"/>
      <c r="N2565" s="3"/>
      <c r="O2565" s="3"/>
      <c r="P2565" s="3"/>
      <c r="Q2565" s="3"/>
      <c r="R2565" s="3"/>
      <c r="S2565" s="3"/>
      <c r="T2565" s="3"/>
      <c r="U2565" s="3"/>
      <c r="V2565" s="3"/>
      <c r="W2565" s="3"/>
      <c r="X2565" s="3"/>
      <c r="Y2565" s="3"/>
      <c r="Z2565" s="3"/>
    </row>
    <row r="2566" spans="1:26" ht="15.6" x14ac:dyDescent="0.3">
      <c r="A2566" s="19" t="s">
        <v>8</v>
      </c>
      <c r="B2566" s="26" t="s">
        <v>2561</v>
      </c>
      <c r="C2566" s="2" t="str">
        <f ca="1">IFERROR(__xludf.DUMMYFUNCTION("GOOGLETRANSLATE(B2566, ""bn"", ""en"")"),"Attacks targeted Muslim cultural centers in Bangladesh, damaging religious teaching facilities and injuring students.")</f>
        <v>Attacks targeted Muslim cultural centers in Bangladesh, damaging religious teaching facilities and injuring students.</v>
      </c>
      <c r="D2566" s="7"/>
      <c r="E2566" s="7"/>
      <c r="F2566" s="7"/>
      <c r="G2566" s="7"/>
      <c r="H2566" s="7"/>
      <c r="I2566" s="7"/>
      <c r="J2566" s="5"/>
      <c r="K2566" s="5"/>
      <c r="L2566" s="5"/>
      <c r="M2566" s="5"/>
      <c r="N2566" s="5"/>
      <c r="O2566" s="5"/>
      <c r="P2566" s="5"/>
      <c r="Q2566" s="5"/>
      <c r="R2566" s="5"/>
      <c r="S2566" s="5"/>
      <c r="T2566" s="5"/>
      <c r="U2566" s="5"/>
      <c r="V2566" s="5"/>
      <c r="W2566" s="5"/>
      <c r="X2566" s="5"/>
      <c r="Y2566" s="5"/>
      <c r="Z2566" s="5"/>
    </row>
    <row r="2567" spans="1:26" ht="15.6" x14ac:dyDescent="0.3">
      <c r="A2567" s="19" t="s">
        <v>3</v>
      </c>
      <c r="B2567" s="26" t="s">
        <v>2562</v>
      </c>
      <c r="C2567" s="2" t="str">
        <f ca="1">IFERROR(__xludf.DUMMYFUNCTION("GOOGLETRANSLATE(B2567, ""bn"", ""en"")"),"When they talk about religion, I question their honesty.")</f>
        <v>When they talk about religion, I question their honesty.</v>
      </c>
      <c r="D2567" s="5"/>
      <c r="E2567" s="5"/>
      <c r="F2567" s="5"/>
      <c r="G2567" s="5"/>
      <c r="H2567" s="5"/>
      <c r="I2567" s="5"/>
      <c r="J2567" s="5"/>
      <c r="K2567" s="5"/>
      <c r="L2567" s="5"/>
      <c r="M2567" s="5"/>
      <c r="N2567" s="5"/>
      <c r="O2567" s="5"/>
      <c r="P2567" s="5"/>
      <c r="Q2567" s="5"/>
      <c r="R2567" s="5"/>
      <c r="S2567" s="5"/>
      <c r="T2567" s="5"/>
      <c r="U2567" s="5"/>
      <c r="V2567" s="5"/>
      <c r="W2567" s="5"/>
      <c r="X2567" s="5"/>
      <c r="Y2567" s="5"/>
      <c r="Z2567" s="5"/>
    </row>
    <row r="2568" spans="1:26" ht="15.6" x14ac:dyDescent="0.3">
      <c r="A2568" s="18" t="s">
        <v>5</v>
      </c>
      <c r="B2568" s="24" t="s">
        <v>2563</v>
      </c>
      <c r="C2568" s="2" t="str">
        <f ca="1">IFERROR(__xludf.DUMMYFUNCTION("GOOGLETRANSLATE(B2568, ""bn"", ""en"")"),"39 people were killed in a religious sectarian clash in a village in Rangpur; After the incident, security measures were taken to tighten the area.")</f>
        <v>39 people were killed in a religious sectarian clash in a village in Rangpur; After the incident, security measures were taken to tighten the area.</v>
      </c>
      <c r="D2568" s="5"/>
      <c r="E2568" s="5"/>
      <c r="F2568" s="5"/>
      <c r="G2568" s="5"/>
      <c r="H2568" s="5"/>
      <c r="I2568" s="5"/>
      <c r="J2568" s="5"/>
      <c r="K2568" s="5"/>
      <c r="L2568" s="5"/>
      <c r="M2568" s="5"/>
      <c r="N2568" s="5"/>
      <c r="O2568" s="5"/>
      <c r="P2568" s="5"/>
      <c r="Q2568" s="5"/>
      <c r="R2568" s="5"/>
      <c r="S2568" s="5"/>
      <c r="T2568" s="5"/>
      <c r="U2568" s="5"/>
      <c r="V2568" s="5"/>
      <c r="W2568" s="5"/>
      <c r="X2568" s="5"/>
      <c r="Y2568" s="5"/>
      <c r="Z2568" s="5"/>
    </row>
    <row r="2569" spans="1:26" ht="15.6" x14ac:dyDescent="0.3">
      <c r="A2569" s="18" t="s">
        <v>3</v>
      </c>
      <c r="B2569" s="24" t="s">
        <v>2564</v>
      </c>
      <c r="C2569" s="2" t="str">
        <f ca="1">IFERROR(__xludf.DUMMYFUNCTION("GOOGLETRANSLATE(B2569, ""bn"", ""en"")"),"Religion is not just ritual, but the practice of moral values.")</f>
        <v>Religion is not just ritual, but the practice of moral values.</v>
      </c>
      <c r="D2569" s="5"/>
      <c r="E2569" s="5"/>
      <c r="F2569" s="5"/>
      <c r="G2569" s="5"/>
      <c r="H2569" s="5"/>
      <c r="I2569" s="5"/>
      <c r="J2569" s="5"/>
      <c r="K2569" s="5"/>
      <c r="L2569" s="5"/>
      <c r="M2569" s="5"/>
      <c r="N2569" s="5"/>
      <c r="O2569" s="5"/>
      <c r="P2569" s="5"/>
      <c r="Q2569" s="5"/>
      <c r="R2569" s="5"/>
      <c r="S2569" s="5"/>
      <c r="T2569" s="5"/>
      <c r="U2569" s="5"/>
      <c r="V2569" s="5"/>
      <c r="W2569" s="5"/>
      <c r="X2569" s="5"/>
      <c r="Y2569" s="5"/>
      <c r="Z2569" s="5"/>
    </row>
    <row r="2570" spans="1:26" ht="15.6" x14ac:dyDescent="0.3">
      <c r="A2570" s="18" t="s">
        <v>23</v>
      </c>
      <c r="B2570" s="25" t="s">
        <v>2565</v>
      </c>
      <c r="C2570" s="2" t="str">
        <f ca="1">IFERROR(__xludf.DUMMYFUNCTION("GOOGLETRANSLATE(B2570, ""bn"", ""en"")"),"Envious of the glitter of the famous city, the Brahmins mutter that if one dies in this city one will go straight to hell or be reborn as a donkey – but if one dies in a Brahminical holy city cough, one will go straight to heaven.")</f>
        <v>Envious of the glitter of the famous city, the Brahmins mutter that if one dies in this city one will go straight to hell or be reborn as a donkey – but if one dies in a Brahminical holy city cough, one will go straight to heaven.</v>
      </c>
      <c r="D2570" s="2"/>
      <c r="E2570" s="2"/>
      <c r="F2570" s="2"/>
      <c r="G2570" s="2"/>
      <c r="H2570" s="3"/>
      <c r="I2570" s="3"/>
      <c r="J2570" s="3"/>
      <c r="K2570" s="3"/>
      <c r="L2570" s="3"/>
      <c r="M2570" s="3"/>
      <c r="N2570" s="3"/>
      <c r="O2570" s="3"/>
      <c r="P2570" s="3"/>
      <c r="Q2570" s="3"/>
      <c r="R2570" s="3"/>
      <c r="S2570" s="3"/>
      <c r="T2570" s="3"/>
      <c r="U2570" s="3"/>
      <c r="V2570" s="3"/>
      <c r="W2570" s="3"/>
      <c r="X2570" s="3"/>
      <c r="Y2570" s="3"/>
      <c r="Z2570" s="3"/>
    </row>
    <row r="2571" spans="1:26" ht="15.6" x14ac:dyDescent="0.3">
      <c r="A2571" s="18" t="s">
        <v>5</v>
      </c>
      <c r="B2571" s="25" t="s">
        <v>2566</v>
      </c>
      <c r="C2571" s="2" t="str">
        <f ca="1">IFERROR(__xludf.DUMMYFUNCTION("GOOGLETRANSLATE(B2571, ""bn"", ""en"")"),"According to European traveller's accounts, in the fifteenth century Mergui, in present-day extreme southern Myanmar, widow burning was practiced.")</f>
        <v>According to European traveller's accounts, in the fifteenth century Mergui, in present-day extreme southern Myanmar, widow burning was practiced.</v>
      </c>
      <c r="D2571" s="2"/>
      <c r="E2571" s="2"/>
      <c r="F2571" s="2"/>
      <c r="G2571" s="2"/>
      <c r="H2571" s="3"/>
      <c r="I2571" s="3"/>
      <c r="J2571" s="3"/>
      <c r="K2571" s="3"/>
      <c r="L2571" s="3"/>
      <c r="M2571" s="3"/>
      <c r="N2571" s="3"/>
      <c r="O2571" s="3"/>
      <c r="P2571" s="3"/>
      <c r="Q2571" s="3"/>
      <c r="R2571" s="3"/>
      <c r="S2571" s="3"/>
      <c r="T2571" s="3"/>
      <c r="U2571" s="3"/>
      <c r="V2571" s="3"/>
      <c r="W2571" s="3"/>
      <c r="X2571" s="3"/>
      <c r="Y2571" s="3"/>
      <c r="Z2571" s="3"/>
    </row>
    <row r="2572" spans="1:26" ht="15.6" x14ac:dyDescent="0.3">
      <c r="A2572" s="18" t="s">
        <v>5</v>
      </c>
      <c r="B2572" s="24" t="s">
        <v>2567</v>
      </c>
      <c r="C2572" s="2" t="str">
        <f ca="1">IFERROR(__xludf.DUMMYFUNCTION("GOOGLETRANSLATE(B2572, ""bn"", ""en"")"),"35 people were killed in the terrorist attack and clashes between Hindu and Muslim communities in Netrakona. Many were injured. As a result of the clashes, most of the houses in the village were destroyed and many families were left homeless.")</f>
        <v>35 people were killed in the terrorist attack and clashes between Hindu and Muslim communities in Netrakona. Many were injured. As a result of the clashes, most of the houses in the village were destroyed and many families were left homeless.</v>
      </c>
      <c r="D2572" s="5"/>
      <c r="E2572" s="5"/>
      <c r="F2572" s="5"/>
      <c r="G2572" s="5"/>
      <c r="H2572" s="5"/>
      <c r="I2572" s="5"/>
      <c r="J2572" s="5"/>
      <c r="K2572" s="5"/>
      <c r="L2572" s="5"/>
      <c r="M2572" s="5"/>
      <c r="N2572" s="5"/>
      <c r="O2572" s="5"/>
      <c r="P2572" s="5"/>
      <c r="Q2572" s="5"/>
      <c r="R2572" s="5"/>
      <c r="S2572" s="5"/>
      <c r="T2572" s="5"/>
      <c r="U2572" s="5"/>
      <c r="V2572" s="5"/>
      <c r="W2572" s="5"/>
      <c r="X2572" s="5"/>
      <c r="Y2572" s="5"/>
      <c r="Z2572" s="5"/>
    </row>
    <row r="2573" spans="1:26" ht="15.6" x14ac:dyDescent="0.3">
      <c r="A2573" s="19" t="s">
        <v>8</v>
      </c>
      <c r="B2573" s="26" t="s">
        <v>2568</v>
      </c>
      <c r="C2573" s="2" t="str">
        <f ca="1">IFERROR(__xludf.DUMMYFUNCTION("GOOGLETRANSLATE(B2573, ""bn"", ""en"")"),"About one kilometer from Nanua Dighi is the hundred year old Chandamani Rakshakali Temple in the city's Chowkbazar area (Kapuriyapatti). Chandamani Kali temple was attacked in three rounds from 11 am to 3 am. The said temple was attacked 3 times in four h"&amp;"ours.")</f>
        <v>About one kilometer from Nanua Dighi is the hundred year old Chandamani Rakshakali Temple in the city's Chowkbazar area (Kapuriyapatti). Chandamani Kali temple was attacked in three rounds from 11 am to 3 am. The said temple was attacked 3 times in four hours.</v>
      </c>
      <c r="D2573" s="7"/>
      <c r="E2573" s="5"/>
      <c r="F2573" s="5"/>
      <c r="G2573" s="5"/>
      <c r="H2573" s="5"/>
      <c r="I2573" s="5"/>
      <c r="J2573" s="5"/>
      <c r="K2573" s="5"/>
      <c r="L2573" s="5"/>
      <c r="M2573" s="5"/>
      <c r="N2573" s="5"/>
      <c r="O2573" s="5"/>
      <c r="P2573" s="5"/>
      <c r="Q2573" s="5"/>
      <c r="R2573" s="5"/>
      <c r="S2573" s="5"/>
      <c r="T2573" s="5"/>
      <c r="U2573" s="5"/>
      <c r="V2573" s="5"/>
      <c r="W2573" s="5"/>
      <c r="X2573" s="5"/>
      <c r="Y2573" s="5"/>
      <c r="Z2573" s="5"/>
    </row>
    <row r="2574" spans="1:26" ht="15.6" x14ac:dyDescent="0.3">
      <c r="A2574" s="18" t="s">
        <v>5</v>
      </c>
      <c r="B2574" s="24" t="s">
        <v>2569</v>
      </c>
      <c r="C2574" s="2" t="str">
        <f ca="1">IFERROR(__xludf.DUMMYFUNCTION("GOOGLETRANSLATE(B2574, ""bn"", ""en"")"),"45 people lost their lives in religious riots in Kishoreganj. Police failed to quell the violence, but the government called for calm. Many families leave the village for safety.")</f>
        <v>45 people lost their lives in religious riots in Kishoreganj. Police failed to quell the violence, but the government called for calm. Many families leave the village for safety.</v>
      </c>
      <c r="D2574" s="5"/>
      <c r="E2574" s="5"/>
      <c r="F2574" s="5"/>
      <c r="G2574" s="5"/>
      <c r="H2574" s="5"/>
      <c r="I2574" s="5"/>
      <c r="J2574" s="5"/>
      <c r="K2574" s="5"/>
      <c r="L2574" s="5"/>
      <c r="M2574" s="5"/>
      <c r="N2574" s="5"/>
      <c r="O2574" s="5"/>
      <c r="P2574" s="5"/>
      <c r="Q2574" s="5"/>
      <c r="R2574" s="5"/>
      <c r="S2574" s="5"/>
      <c r="T2574" s="5"/>
      <c r="U2574" s="5"/>
      <c r="V2574" s="5"/>
      <c r="W2574" s="5"/>
      <c r="X2574" s="5"/>
      <c r="Y2574" s="5"/>
      <c r="Z2574" s="5"/>
    </row>
    <row r="2575" spans="1:26" ht="15.6" x14ac:dyDescent="0.3">
      <c r="A2575" s="18" t="s">
        <v>23</v>
      </c>
      <c r="B2575" s="24" t="s">
        <v>2570</v>
      </c>
      <c r="C2575" s="2" t="str">
        <f ca="1">IFERROR(__xludf.DUMMYFUNCTION("GOOGLETRANSLATE(B2575, ""bn"", ""en"")"),"Buddhists often make disparaging comments about people of other religions which creates hatred in the society.")</f>
        <v>Buddhists often make disparaging comments about people of other religions which creates hatred in the society.</v>
      </c>
      <c r="D2575" s="5"/>
      <c r="E2575" s="5"/>
      <c r="F2575" s="5"/>
      <c r="G2575" s="5"/>
      <c r="H2575" s="5"/>
      <c r="I2575" s="5"/>
      <c r="J2575" s="5"/>
      <c r="K2575" s="5"/>
      <c r="L2575" s="5"/>
      <c r="M2575" s="5"/>
      <c r="N2575" s="5"/>
      <c r="O2575" s="5"/>
      <c r="P2575" s="5"/>
      <c r="Q2575" s="5"/>
      <c r="R2575" s="5"/>
      <c r="S2575" s="5"/>
      <c r="T2575" s="5"/>
      <c r="U2575" s="5"/>
      <c r="V2575" s="5"/>
      <c r="W2575" s="5"/>
      <c r="X2575" s="5"/>
      <c r="Y2575" s="5"/>
      <c r="Z2575" s="5"/>
    </row>
    <row r="2576" spans="1:26" ht="15.6" x14ac:dyDescent="0.3">
      <c r="A2576" s="19" t="s">
        <v>3</v>
      </c>
      <c r="B2576" s="26" t="s">
        <v>2571</v>
      </c>
      <c r="C2576" s="2" t="str">
        <f ca="1">IFERROR(__xludf.DUMMYFUNCTION("GOOGLETRANSLATE(B2576, ""bn"", ""en"")"),"Confusion over the religion of the victims of the Bailey Road fire continues. Cremation will not be buried - why the conflict?")</f>
        <v>Confusion over the religion of the victims of the Bailey Road fire continues. Cremation will not be buried - why the conflict?</v>
      </c>
      <c r="D2576" s="7"/>
      <c r="E2576" s="7"/>
      <c r="F2576" s="7"/>
      <c r="G2576" s="5"/>
      <c r="H2576" s="5"/>
      <c r="I2576" s="5"/>
      <c r="J2576" s="5"/>
      <c r="K2576" s="5"/>
      <c r="L2576" s="5"/>
      <c r="M2576" s="5"/>
      <c r="N2576" s="5"/>
      <c r="O2576" s="5"/>
      <c r="P2576" s="5"/>
      <c r="Q2576" s="5"/>
      <c r="R2576" s="5"/>
      <c r="S2576" s="5"/>
      <c r="T2576" s="5"/>
      <c r="U2576" s="5"/>
      <c r="V2576" s="5"/>
      <c r="W2576" s="5"/>
      <c r="X2576" s="5"/>
      <c r="Y2576" s="5"/>
      <c r="Z2576" s="5"/>
    </row>
    <row r="2577" spans="1:26" ht="15.6" x14ac:dyDescent="0.3">
      <c r="A2577" s="18" t="s">
        <v>8</v>
      </c>
      <c r="B2577" s="24" t="s">
        <v>2572</v>
      </c>
      <c r="C2577" s="2" t="str">
        <f ca="1">IFERROR(__xludf.DUMMYFUNCTION("GOOGLETRANSLATE(B2577, ""bn"", ""en"")"),"On October 17, 2023, the sword and the lion statue in the hands of the statue were vandalized by entering Kalimandir in Nawabganj, Dhaka.")</f>
        <v>On October 17, 2023, the sword and the lion statue in the hands of the statue were vandalized by entering Kalimandir in Nawabganj, Dhaka.</v>
      </c>
      <c r="D2577" s="5"/>
      <c r="E2577" s="5"/>
      <c r="F2577" s="5"/>
      <c r="G2577" s="5"/>
      <c r="H2577" s="5"/>
      <c r="I2577" s="5"/>
      <c r="J2577" s="5"/>
      <c r="K2577" s="5"/>
      <c r="L2577" s="5"/>
      <c r="M2577" s="5"/>
      <c r="N2577" s="5"/>
      <c r="O2577" s="5"/>
      <c r="P2577" s="5"/>
      <c r="Q2577" s="5"/>
      <c r="R2577" s="5"/>
      <c r="S2577" s="5"/>
      <c r="T2577" s="5"/>
      <c r="U2577" s="5"/>
      <c r="V2577" s="5"/>
      <c r="W2577" s="5"/>
      <c r="X2577" s="5"/>
      <c r="Y2577" s="5"/>
      <c r="Z2577" s="5"/>
    </row>
    <row r="2578" spans="1:26" ht="15.6" x14ac:dyDescent="0.3">
      <c r="A2578" s="18" t="s">
        <v>23</v>
      </c>
      <c r="B2578" s="25" t="s">
        <v>2573</v>
      </c>
      <c r="C2578" s="2" t="str">
        <f ca="1">IFERROR(__xludf.DUMMYFUNCTION("GOOGLETRANSLATE(B2578, ""bn"", ""en"")"),"The Hindu-Buddhist-Christian Unity Council has complained that minorities are being targeted in the incidents that have taken place for a few days amid rumors of insulting religion in Bangladesh.")</f>
        <v>The Hindu-Buddhist-Christian Unity Council has complained that minorities are being targeted in the incidents that have taken place for a few days amid rumors of insulting religion in Bangladesh.</v>
      </c>
      <c r="D2578" s="2"/>
      <c r="E2578" s="2"/>
      <c r="F2578" s="2"/>
      <c r="G2578" s="2"/>
      <c r="H2578" s="3"/>
      <c r="I2578" s="3"/>
      <c r="J2578" s="3"/>
      <c r="K2578" s="3"/>
      <c r="L2578" s="3"/>
      <c r="M2578" s="3"/>
      <c r="N2578" s="3"/>
      <c r="O2578" s="3"/>
      <c r="P2578" s="3"/>
      <c r="Q2578" s="3"/>
      <c r="R2578" s="3"/>
      <c r="S2578" s="3"/>
      <c r="T2578" s="3"/>
      <c r="U2578" s="3"/>
      <c r="V2578" s="3"/>
      <c r="W2578" s="3"/>
      <c r="X2578" s="3"/>
      <c r="Y2578" s="3"/>
      <c r="Z2578" s="3"/>
    </row>
    <row r="2579" spans="1:26" ht="15.6" x14ac:dyDescent="0.3">
      <c r="A2579" s="18" t="s">
        <v>3</v>
      </c>
      <c r="B2579" s="25" t="s">
        <v>2574</v>
      </c>
      <c r="C2579" s="2" t="str">
        <f ca="1">IFERROR(__xludf.DUMMYFUNCTION("GOOGLETRANSLATE(B2579, ""bn"", ""en"")"),"A believer is satisfied with the good and bad of fate. Even if he is touched on something he does not like, he does not question it. Because Allah's command is, 'He (Allah) cannot be questioned about what He does, rather they will be questioned. '")</f>
        <v>A believer is satisfied with the good and bad of fate. Even if he is touched on something he does not like, he does not question it. Because Allah's command is, 'He (Allah) cannot be questioned about what He does, rather they will be questioned. '</v>
      </c>
      <c r="D2579" s="6"/>
      <c r="E2579" s="6"/>
      <c r="F2579" s="6"/>
      <c r="G2579" s="6"/>
      <c r="H2579" s="3"/>
      <c r="I2579" s="3"/>
      <c r="J2579" s="3"/>
      <c r="K2579" s="3"/>
      <c r="L2579" s="3"/>
      <c r="M2579" s="3"/>
      <c r="N2579" s="3"/>
      <c r="O2579" s="3"/>
      <c r="P2579" s="3"/>
      <c r="Q2579" s="3"/>
      <c r="R2579" s="3"/>
      <c r="S2579" s="3"/>
      <c r="T2579" s="3"/>
      <c r="U2579" s="3"/>
      <c r="V2579" s="3"/>
      <c r="W2579" s="3"/>
      <c r="X2579" s="3"/>
      <c r="Y2579" s="3"/>
      <c r="Z2579" s="3"/>
    </row>
    <row r="2580" spans="1:26" ht="15.6" x14ac:dyDescent="0.3">
      <c r="A2580" s="19" t="s">
        <v>5</v>
      </c>
      <c r="B2580" s="26" t="s">
        <v>2575</v>
      </c>
      <c r="C2580" s="2" t="str">
        <f ca="1">IFERROR(__xludf.DUMMYFUNCTION("GOOGLETRANSLATE(B2580, ""bn"", ""en"")"),"About 200 Bengali Hindus were killed and several hundred injured in the massacre at Baria and nearby Kamaria.")</f>
        <v>About 200 Bengali Hindus were killed and several hundred injured in the massacre at Baria and nearby Kamaria.</v>
      </c>
      <c r="D2580" s="7"/>
      <c r="E2580" s="7"/>
      <c r="F2580" s="7"/>
      <c r="G2580" s="5"/>
      <c r="H2580" s="5"/>
      <c r="I2580" s="5"/>
      <c r="J2580" s="5"/>
      <c r="K2580" s="5"/>
      <c r="L2580" s="5"/>
      <c r="M2580" s="5"/>
      <c r="N2580" s="5"/>
      <c r="O2580" s="5"/>
      <c r="P2580" s="5"/>
      <c r="Q2580" s="5"/>
      <c r="R2580" s="5"/>
      <c r="S2580" s="5"/>
      <c r="T2580" s="5"/>
      <c r="U2580" s="5"/>
      <c r="V2580" s="5"/>
      <c r="W2580" s="5"/>
      <c r="X2580" s="5"/>
      <c r="Y2580" s="5"/>
      <c r="Z2580" s="5"/>
    </row>
    <row r="2581" spans="1:26" ht="15.6" x14ac:dyDescent="0.3">
      <c r="A2581" s="18" t="s">
        <v>23</v>
      </c>
      <c r="B2581" s="24" t="s">
        <v>488</v>
      </c>
      <c r="C2581" s="2" t="str">
        <f ca="1">IFERROR(__xludf.DUMMYFUNCTION("GOOGLETRANSLATE(B2581, ""bn"", ""en"")"),"Many in the Hindu community are destroying the religious peace with their hostile attitude towards other religions.")</f>
        <v>Many in the Hindu community are destroying the religious peace with their hostile attitude towards other religions.</v>
      </c>
      <c r="D2581" s="5"/>
      <c r="E2581" s="5"/>
      <c r="F2581" s="5"/>
      <c r="G2581" s="5"/>
      <c r="H2581" s="5"/>
      <c r="I2581" s="5"/>
      <c r="J2581" s="5"/>
      <c r="K2581" s="5"/>
      <c r="L2581" s="5"/>
      <c r="M2581" s="5"/>
      <c r="N2581" s="5"/>
      <c r="O2581" s="5"/>
      <c r="P2581" s="5"/>
      <c r="Q2581" s="5"/>
      <c r="R2581" s="5"/>
      <c r="S2581" s="5"/>
      <c r="T2581" s="5"/>
      <c r="U2581" s="5"/>
      <c r="V2581" s="5"/>
      <c r="W2581" s="5"/>
      <c r="X2581" s="5"/>
      <c r="Y2581" s="5"/>
      <c r="Z2581" s="5"/>
    </row>
    <row r="2582" spans="1:26" ht="15.6" x14ac:dyDescent="0.3">
      <c r="A2582" s="18" t="s">
        <v>3</v>
      </c>
      <c r="B2582" s="25" t="s">
        <v>2576</v>
      </c>
      <c r="C2582" s="2" t="str">
        <f ca="1">IFERROR(__xludf.DUMMYFUNCTION("GOOGLETRANSLATE(B2582, ""bn"", ""en"")"),"Religion develops morality and ideals in people. It helps him to stay on the right path and be aware of life.")</f>
        <v>Religion develops morality and ideals in people. It helps him to stay on the right path and be aware of life.</v>
      </c>
      <c r="D2582" s="5"/>
      <c r="E2582" s="5"/>
      <c r="F2582" s="5"/>
      <c r="G2582" s="5"/>
      <c r="H2582" s="5"/>
      <c r="I2582" s="5"/>
      <c r="J2582" s="5"/>
      <c r="K2582" s="5"/>
      <c r="L2582" s="5"/>
      <c r="M2582" s="5"/>
      <c r="N2582" s="5"/>
      <c r="O2582" s="5"/>
      <c r="P2582" s="5"/>
      <c r="Q2582" s="5"/>
      <c r="R2582" s="5"/>
      <c r="S2582" s="5"/>
      <c r="T2582" s="5"/>
      <c r="U2582" s="5"/>
      <c r="V2582" s="5"/>
      <c r="W2582" s="5"/>
      <c r="X2582" s="5"/>
      <c r="Y2582" s="5"/>
      <c r="Z2582" s="5"/>
    </row>
    <row r="2583" spans="1:26" ht="15.6" x14ac:dyDescent="0.3">
      <c r="A2583" s="19" t="s">
        <v>3</v>
      </c>
      <c r="B2583" s="26" t="s">
        <v>2577</v>
      </c>
      <c r="C2583" s="2" t="str">
        <f ca="1">IFERROR(__xludf.DUMMYFUNCTION("GOOGLETRANSLATE(B2583, ""bn"", ""en"")"),"The chief adviser's press wing said that although 23 killings were reported in communal violence, the police investigation found no evidence of murder.")</f>
        <v>The chief adviser's press wing said that although 23 killings were reported in communal violence, the police investigation found no evidence of murder.</v>
      </c>
      <c r="D2583" s="7"/>
      <c r="E2583" s="7"/>
      <c r="F2583" s="7"/>
      <c r="G2583" s="7"/>
      <c r="H2583" s="7"/>
      <c r="I2583" s="7"/>
      <c r="J2583" s="7"/>
      <c r="K2583" s="7"/>
      <c r="L2583" s="5"/>
      <c r="M2583" s="5"/>
      <c r="N2583" s="5"/>
      <c r="O2583" s="5"/>
      <c r="P2583" s="5"/>
      <c r="Q2583" s="5"/>
      <c r="R2583" s="5"/>
      <c r="S2583" s="5"/>
      <c r="T2583" s="5"/>
      <c r="U2583" s="5"/>
      <c r="V2583" s="5"/>
      <c r="W2583" s="5"/>
      <c r="X2583" s="5"/>
      <c r="Y2583" s="5"/>
      <c r="Z2583" s="5"/>
    </row>
    <row r="2584" spans="1:26" ht="15.6" x14ac:dyDescent="0.3">
      <c r="A2584" s="18" t="s">
        <v>23</v>
      </c>
      <c r="B2584" s="25" t="s">
        <v>2578</v>
      </c>
      <c r="C2584" s="2" t="str">
        <f ca="1">IFERROR(__xludf.DUMMYFUNCTION("GOOGLETRANSLATE(B2584, ""bn"", ""en"")"),"Alleged comments on social media Facebook insulting Islam and Prophet Mohammad (PBUH).")</f>
        <v>Alleged comments on social media Facebook insulting Islam and Prophet Mohammad (PBUH).</v>
      </c>
      <c r="D2584" s="5"/>
      <c r="E2584" s="5"/>
      <c r="F2584" s="5"/>
      <c r="G2584" s="5"/>
      <c r="H2584" s="5"/>
      <c r="I2584" s="5"/>
      <c r="J2584" s="5"/>
      <c r="K2584" s="5"/>
      <c r="L2584" s="5"/>
      <c r="M2584" s="5"/>
      <c r="N2584" s="5"/>
      <c r="O2584" s="5"/>
      <c r="P2584" s="5"/>
      <c r="Q2584" s="5"/>
      <c r="R2584" s="5"/>
      <c r="S2584" s="5"/>
      <c r="T2584" s="5"/>
      <c r="U2584" s="5"/>
      <c r="V2584" s="5"/>
      <c r="W2584" s="5"/>
      <c r="X2584" s="5"/>
      <c r="Y2584" s="5"/>
      <c r="Z2584" s="5"/>
    </row>
    <row r="2585" spans="1:26" ht="15.6" x14ac:dyDescent="0.3">
      <c r="A2585" s="18" t="s">
        <v>5</v>
      </c>
      <c r="B2585" s="25" t="s">
        <v>2579</v>
      </c>
      <c r="C2585" s="2" t="str">
        <f ca="1">IFERROR(__xludf.DUMMYFUNCTION("GOOGLETRANSLATE(B2585, ""bn"", ""en"")"),"Bahujans were killed in the barbaric attack on Hindu religious pilgrims on the bridge and many were forced to commit suicide by jumping into the river to save their lives.")</f>
        <v>Bahujans were killed in the barbaric attack on Hindu religious pilgrims on the bridge and many were forced to commit suicide by jumping into the river to save their lives.</v>
      </c>
      <c r="D2585" s="5"/>
      <c r="E2585" s="5"/>
      <c r="F2585" s="5"/>
      <c r="G2585" s="5"/>
      <c r="H2585" s="5"/>
      <c r="I2585" s="5"/>
      <c r="J2585" s="5"/>
      <c r="K2585" s="5"/>
      <c r="L2585" s="5"/>
      <c r="M2585" s="5"/>
      <c r="N2585" s="5"/>
      <c r="O2585" s="5"/>
      <c r="P2585" s="5"/>
      <c r="Q2585" s="5"/>
      <c r="R2585" s="5"/>
      <c r="S2585" s="5"/>
      <c r="T2585" s="5"/>
      <c r="U2585" s="5"/>
      <c r="V2585" s="5"/>
      <c r="W2585" s="5"/>
      <c r="X2585" s="5"/>
      <c r="Y2585" s="5"/>
      <c r="Z2585" s="5"/>
    </row>
    <row r="2586" spans="1:26" ht="15.6" x14ac:dyDescent="0.3">
      <c r="A2586" s="18" t="s">
        <v>3</v>
      </c>
      <c r="B2586" s="25" t="s">
        <v>2580</v>
      </c>
      <c r="C2586" s="2" t="str">
        <f ca="1">IFERROR(__xludf.DUMMYFUNCTION("GOOGLETRANSLATE(B2586, ""bn"", ""en"")"),"It is a humble request to all respected members that we will try not to share any controversial religious posts here, be it of any religion.")</f>
        <v>It is a humble request to all respected members that we will try not to share any controversial religious posts here, be it of any religion.</v>
      </c>
      <c r="D2586" s="5"/>
      <c r="E2586" s="5"/>
      <c r="F2586" s="5"/>
      <c r="G2586" s="5"/>
      <c r="H2586" s="5"/>
      <c r="I2586" s="5"/>
      <c r="J2586" s="5"/>
      <c r="K2586" s="5"/>
      <c r="L2586" s="5"/>
      <c r="M2586" s="5"/>
      <c r="N2586" s="5"/>
      <c r="O2586" s="5"/>
      <c r="P2586" s="5"/>
      <c r="Q2586" s="5"/>
      <c r="R2586" s="5"/>
      <c r="S2586" s="5"/>
      <c r="T2586" s="5"/>
      <c r="U2586" s="5"/>
      <c r="V2586" s="5"/>
      <c r="W2586" s="5"/>
      <c r="X2586" s="5"/>
      <c r="Y2586" s="5"/>
      <c r="Z2586" s="5"/>
    </row>
    <row r="2587" spans="1:26" ht="15.6" x14ac:dyDescent="0.3">
      <c r="A2587" s="18" t="s">
        <v>8</v>
      </c>
      <c r="B2587" s="24" t="s">
        <v>2581</v>
      </c>
      <c r="C2587" s="2" t="str">
        <f ca="1">IFERROR(__xludf.DUMMYFUNCTION("GOOGLETRANSLATE(B2587, ""bn"", ""en"")"),"On May 10, 2024, miscreants set fire to an old Shiva temple in Sylhet's Jaintapur and destroyed several idols including a Shiva linga. They also wrote derogatory messages on the spot.")</f>
        <v>On May 10, 2024, miscreants set fire to an old Shiva temple in Sylhet's Jaintapur and destroyed several idols including a Shiva linga. They also wrote derogatory messages on the spot.</v>
      </c>
      <c r="D2587" s="5"/>
      <c r="E2587" s="5"/>
      <c r="F2587" s="5"/>
      <c r="G2587" s="5"/>
      <c r="H2587" s="5"/>
      <c r="I2587" s="5"/>
      <c r="J2587" s="5"/>
      <c r="K2587" s="5"/>
      <c r="L2587" s="5"/>
      <c r="M2587" s="5"/>
      <c r="N2587" s="5"/>
      <c r="O2587" s="5"/>
      <c r="P2587" s="5"/>
      <c r="Q2587" s="5"/>
      <c r="R2587" s="5"/>
      <c r="S2587" s="5"/>
      <c r="T2587" s="5"/>
      <c r="U2587" s="5"/>
      <c r="V2587" s="5"/>
      <c r="W2587" s="5"/>
      <c r="X2587" s="5"/>
      <c r="Y2587" s="5"/>
      <c r="Z2587" s="5"/>
    </row>
    <row r="2588" spans="1:26" ht="15.6" x14ac:dyDescent="0.3">
      <c r="A2588" s="18" t="s">
        <v>8</v>
      </c>
      <c r="B2588" s="25" t="s">
        <v>2582</v>
      </c>
      <c r="C2588" s="2" t="str">
        <f ca="1">IFERROR(__xludf.DUMMYFUNCTION("GOOGLETRANSLATE(B2588, ""bn"", ""en"")"),"A series of attacks against Bengali Hindus in Bangladesh occurred in late October and early November 1990 after rumors spread that marginal mosques had been demolished.")</f>
        <v>A series of attacks against Bengali Hindus in Bangladesh occurred in late October and early November 1990 after rumors spread that marginal mosques had been demolished.</v>
      </c>
      <c r="D2588" s="2"/>
      <c r="E2588" s="2"/>
      <c r="F2588" s="2"/>
      <c r="G2588" s="2"/>
      <c r="H2588" s="5"/>
      <c r="I2588" s="5"/>
      <c r="J2588" s="5"/>
      <c r="K2588" s="5"/>
      <c r="L2588" s="5"/>
      <c r="M2588" s="5"/>
      <c r="N2588" s="5"/>
      <c r="O2588" s="5"/>
      <c r="P2588" s="5"/>
      <c r="Q2588" s="5"/>
      <c r="R2588" s="5"/>
      <c r="S2588" s="5"/>
      <c r="T2588" s="5"/>
      <c r="U2588" s="5"/>
      <c r="V2588" s="5"/>
      <c r="W2588" s="5"/>
      <c r="X2588" s="5"/>
      <c r="Y2588" s="5"/>
      <c r="Z2588" s="5"/>
    </row>
    <row r="2589" spans="1:26" ht="15.6" x14ac:dyDescent="0.3">
      <c r="A2589" s="19" t="s">
        <v>3</v>
      </c>
      <c r="B2589" s="26" t="s">
        <v>2583</v>
      </c>
      <c r="C2589" s="2" t="str">
        <f ca="1">IFERROR(__xludf.DUMMYFUNCTION("GOOGLETRANSLATE(B2589, ""bn"", ""en"")"),"They even praised me for studying Islam. There was never a second word with them. We had two Hindu batchmates as roster mates during the internship. Apart from that, I have maintained the Mahram distance as much as possible. Although there were some chall"&amp;"enging moments with one of them, I always tried to fulfill my duties.")</f>
        <v>They even praised me for studying Islam. There was never a second word with them. We had two Hindu batchmates as roster mates during the internship. Apart from that, I have maintained the Mahram distance as much as possible. Although there were some challenging moments with one of them, I always tried to fulfill my duties.</v>
      </c>
      <c r="D2589" s="7"/>
      <c r="E2589" s="7"/>
      <c r="F2589" s="7"/>
      <c r="G2589" s="7"/>
      <c r="H2589" s="7"/>
      <c r="I2589" s="7"/>
      <c r="J2589" s="7"/>
      <c r="K2589" s="7"/>
      <c r="L2589" s="7"/>
      <c r="M2589" s="7"/>
      <c r="N2589" s="7"/>
      <c r="O2589" s="7"/>
      <c r="P2589" s="7"/>
      <c r="Q2589" s="7"/>
      <c r="R2589" s="5"/>
      <c r="S2589" s="5"/>
      <c r="T2589" s="5"/>
      <c r="U2589" s="5"/>
      <c r="V2589" s="5"/>
      <c r="W2589" s="5"/>
      <c r="X2589" s="5"/>
      <c r="Y2589" s="5"/>
      <c r="Z2589" s="5"/>
    </row>
    <row r="2590" spans="1:26" ht="15.6" x14ac:dyDescent="0.3">
      <c r="A2590" s="18" t="s">
        <v>5</v>
      </c>
      <c r="B2590" s="24" t="s">
        <v>2584</v>
      </c>
      <c r="C2590" s="2" t="str">
        <f ca="1">IFERROR(__xludf.DUMMYFUNCTION("GOOGLETRANSLATE(B2590, ""bn"", ""en"")"),"45 people lost their lives in clashes between religious groups in Kishoreganj. While the police failed to quell the violence, the government called for peace and accountability. Many families leave the village for security reasons.")</f>
        <v>45 people lost their lives in clashes between religious groups in Kishoreganj. While the police failed to quell the violence, the government called for peace and accountability. Many families leave the village for security reasons.</v>
      </c>
      <c r="D2590" s="5"/>
      <c r="E2590" s="5"/>
      <c r="F2590" s="5"/>
      <c r="G2590" s="5"/>
      <c r="H2590" s="5"/>
      <c r="I2590" s="5"/>
      <c r="J2590" s="5"/>
      <c r="K2590" s="5"/>
      <c r="L2590" s="5"/>
      <c r="M2590" s="5"/>
      <c r="N2590" s="5"/>
      <c r="O2590" s="5"/>
      <c r="P2590" s="5"/>
      <c r="Q2590" s="5"/>
      <c r="R2590" s="5"/>
      <c r="S2590" s="5"/>
      <c r="T2590" s="5"/>
      <c r="U2590" s="5"/>
      <c r="V2590" s="5"/>
      <c r="W2590" s="5"/>
      <c r="X2590" s="5"/>
      <c r="Y2590" s="5"/>
      <c r="Z2590" s="5"/>
    </row>
    <row r="2591" spans="1:26" ht="15.6" x14ac:dyDescent="0.3">
      <c r="A2591" s="18" t="s">
        <v>8</v>
      </c>
      <c r="B2591" s="24" t="s">
        <v>2585</v>
      </c>
      <c r="C2591" s="2" t="str">
        <f ca="1">IFERROR(__xludf.DUMMYFUNCTION("GOOGLETRANSLATE(B2591, ""bn"", ""en"")"),"In Gopalganj, entering a traditional religious arena, the idols of Radha-Krishna were thrown to the ground by their hands.")</f>
        <v>In Gopalganj, entering a traditional religious arena, the idols of Radha-Krishna were thrown to the ground by their hands.</v>
      </c>
      <c r="D2591" s="5"/>
      <c r="E2591" s="5"/>
      <c r="F2591" s="5"/>
      <c r="G2591" s="5"/>
      <c r="H2591" s="5"/>
      <c r="I2591" s="5"/>
      <c r="J2591" s="5"/>
      <c r="K2591" s="5"/>
      <c r="L2591" s="5"/>
      <c r="M2591" s="5"/>
      <c r="N2591" s="5"/>
      <c r="O2591" s="5"/>
      <c r="P2591" s="5"/>
      <c r="Q2591" s="5"/>
      <c r="R2591" s="5"/>
      <c r="S2591" s="5"/>
      <c r="T2591" s="5"/>
      <c r="U2591" s="5"/>
      <c r="V2591" s="5"/>
      <c r="W2591" s="5"/>
      <c r="X2591" s="5"/>
      <c r="Y2591" s="5"/>
      <c r="Z2591" s="5"/>
    </row>
    <row r="2592" spans="1:26" ht="15.6" x14ac:dyDescent="0.3">
      <c r="A2592" s="18" t="s">
        <v>5</v>
      </c>
      <c r="B2592" s="25" t="s">
        <v>2586</v>
      </c>
      <c r="C2592" s="2" t="str">
        <f ca="1">IFERROR(__xludf.DUMMYFUNCTION("GOOGLETRANSLATE(B2592, ""bn"", ""en"")"),"The madrasah teacher murder has raised religious tensions and led to a debate on secularism.")</f>
        <v>The madrasah teacher murder has raised religious tensions and led to a debate on secularism.</v>
      </c>
      <c r="D2592" s="2"/>
      <c r="E2592" s="2"/>
      <c r="F2592" s="2"/>
      <c r="G2592" s="2"/>
      <c r="H2592" s="5"/>
      <c r="I2592" s="5"/>
      <c r="J2592" s="5"/>
      <c r="K2592" s="5"/>
      <c r="L2592" s="5"/>
      <c r="M2592" s="5"/>
      <c r="N2592" s="5"/>
      <c r="O2592" s="5"/>
      <c r="P2592" s="5"/>
      <c r="Q2592" s="5"/>
      <c r="R2592" s="5"/>
      <c r="S2592" s="5"/>
      <c r="T2592" s="5"/>
      <c r="U2592" s="5"/>
      <c r="V2592" s="5"/>
      <c r="W2592" s="5"/>
      <c r="X2592" s="5"/>
      <c r="Y2592" s="5"/>
      <c r="Z2592" s="5"/>
    </row>
    <row r="2593" spans="1:26" ht="15.6" x14ac:dyDescent="0.3">
      <c r="A2593" s="18" t="s">
        <v>5</v>
      </c>
      <c r="B2593" s="24" t="s">
        <v>2587</v>
      </c>
      <c r="C2593" s="2" t="str">
        <f ca="1">IFERROR(__xludf.DUMMYFUNCTION("GOOGLETRANSLATE(B2593, ""bn"", ""en"")"),"In February 2021, a group taxed minorities; If they could not pay, their houses were destroyed; 26 people were killed.")</f>
        <v>In February 2021, a group taxed minorities; If they could not pay, their houses were destroyed; 26 people were killed.</v>
      </c>
      <c r="D2593" s="5"/>
      <c r="E2593" s="5"/>
      <c r="F2593" s="5"/>
      <c r="G2593" s="5"/>
      <c r="H2593" s="5"/>
      <c r="I2593" s="5"/>
      <c r="J2593" s="5"/>
      <c r="K2593" s="5"/>
      <c r="L2593" s="5"/>
      <c r="M2593" s="5"/>
      <c r="N2593" s="5"/>
      <c r="O2593" s="5"/>
      <c r="P2593" s="5"/>
      <c r="Q2593" s="5"/>
      <c r="R2593" s="5"/>
      <c r="S2593" s="5"/>
      <c r="T2593" s="5"/>
      <c r="U2593" s="5"/>
      <c r="V2593" s="5"/>
      <c r="W2593" s="5"/>
      <c r="X2593" s="5"/>
      <c r="Y2593" s="5"/>
      <c r="Z2593" s="5"/>
    </row>
    <row r="2594" spans="1:26" ht="15.6" x14ac:dyDescent="0.3">
      <c r="A2594" s="18" t="s">
        <v>5</v>
      </c>
      <c r="B2594" s="24" t="s">
        <v>2588</v>
      </c>
      <c r="C2594" s="2" t="str">
        <f ca="1">IFERROR(__xludf.DUMMYFUNCTION("GOOGLETRANSLATE(B2594, ""bn"", ""en"")"),"In June 2020, a group of religious extremists banned girls from sports and attacked those who did play, killing 16 people.")</f>
        <v>In June 2020, a group of religious extremists banned girls from sports and attacked those who did play, killing 16 people.</v>
      </c>
      <c r="D2594" s="5"/>
      <c r="E2594" s="5"/>
      <c r="F2594" s="5"/>
      <c r="G2594" s="5"/>
      <c r="H2594" s="5"/>
      <c r="I2594" s="5"/>
      <c r="J2594" s="5"/>
      <c r="K2594" s="5"/>
      <c r="L2594" s="5"/>
      <c r="M2594" s="5"/>
      <c r="N2594" s="5"/>
      <c r="O2594" s="5"/>
      <c r="P2594" s="5"/>
      <c r="Q2594" s="5"/>
      <c r="R2594" s="5"/>
      <c r="S2594" s="5"/>
      <c r="T2594" s="5"/>
      <c r="U2594" s="5"/>
      <c r="V2594" s="5"/>
      <c r="W2594" s="5"/>
      <c r="X2594" s="5"/>
      <c r="Y2594" s="5"/>
      <c r="Z2594" s="5"/>
    </row>
    <row r="2595" spans="1:26" ht="15.6" x14ac:dyDescent="0.3">
      <c r="A2595" s="18" t="s">
        <v>23</v>
      </c>
      <c r="B2595" s="24" t="s">
        <v>2589</v>
      </c>
      <c r="C2595" s="2" t="str">
        <f ca="1">IFERROR(__xludf.DUMMYFUNCTION("GOOGLETRANSLATE(B2595, ""bn"", ""en"")"),"Some sections of the Hindu community, being backward in religious knowledge, spread derogatory and hate speech against other religions.")</f>
        <v>Some sections of the Hindu community, being backward in religious knowledge, spread derogatory and hate speech against other religions.</v>
      </c>
      <c r="D2595" s="5"/>
      <c r="E2595" s="5"/>
      <c r="F2595" s="5"/>
      <c r="G2595" s="5"/>
      <c r="H2595" s="5"/>
      <c r="I2595" s="5"/>
      <c r="J2595" s="5"/>
      <c r="K2595" s="5"/>
      <c r="L2595" s="5"/>
      <c r="M2595" s="5"/>
      <c r="N2595" s="5"/>
      <c r="O2595" s="5"/>
      <c r="P2595" s="5"/>
      <c r="Q2595" s="5"/>
      <c r="R2595" s="5"/>
      <c r="S2595" s="5"/>
      <c r="T2595" s="5"/>
      <c r="U2595" s="5"/>
      <c r="V2595" s="5"/>
      <c r="W2595" s="5"/>
      <c r="X2595" s="5"/>
      <c r="Y2595" s="5"/>
      <c r="Z2595" s="5"/>
    </row>
    <row r="2596" spans="1:26" ht="15.6" x14ac:dyDescent="0.3">
      <c r="A2596" s="18" t="s">
        <v>5</v>
      </c>
      <c r="B2596" s="25" t="s">
        <v>2590</v>
      </c>
      <c r="C2596" s="2" t="str">
        <f ca="1">IFERROR(__xludf.DUMMYFUNCTION("GOOGLETRANSLATE(B2596, ""bn"", ""en"")"),"The law of sending suicides to hell in the name of religion is as cruel as it is tragic when a helpless person suffering from religious torture kills himself by running away from life.")</f>
        <v>The law of sending suicides to hell in the name of religion is as cruel as it is tragic when a helpless person suffering from religious torture kills himself by running away from life.</v>
      </c>
      <c r="D2596" s="5"/>
      <c r="E2596" s="5"/>
      <c r="F2596" s="5"/>
      <c r="G2596" s="5"/>
      <c r="H2596" s="5"/>
      <c r="I2596" s="5"/>
      <c r="J2596" s="5"/>
      <c r="K2596" s="5"/>
      <c r="L2596" s="5"/>
      <c r="M2596" s="5"/>
      <c r="N2596" s="5"/>
      <c r="O2596" s="5"/>
      <c r="P2596" s="5"/>
      <c r="Q2596" s="5"/>
      <c r="R2596" s="5"/>
      <c r="S2596" s="5"/>
      <c r="T2596" s="5"/>
      <c r="U2596" s="5"/>
      <c r="V2596" s="5"/>
      <c r="W2596" s="5"/>
      <c r="X2596" s="5"/>
      <c r="Y2596" s="5"/>
      <c r="Z2596" s="5"/>
    </row>
    <row r="2597" spans="1:26" ht="15.6" x14ac:dyDescent="0.3">
      <c r="A2597" s="19" t="s">
        <v>23</v>
      </c>
      <c r="B2597" s="26" t="s">
        <v>2591</v>
      </c>
      <c r="C2597" s="2" t="str">
        <f ca="1">IFERROR(__xludf.DUMMYFUNCTION("GOOGLETRANSLATE(B2597, ""bn"", ""en"")"),"Sabur Khan and his party members, including the Chamkuri Union chairman, blamed Hindus for the defeat and created threats and intimidation; Hazratbal tried to spread the rumor of the incident to Hindu Nikesh in Khulna.")</f>
        <v>Sabur Khan and his party members, including the Chamkuri Union chairman, blamed Hindus for the defeat and created threats and intimidation; Hazratbal tried to spread the rumor of the incident to Hindu Nikesh in Khulna.</v>
      </c>
      <c r="D2597" s="7"/>
      <c r="E2597" s="7"/>
      <c r="F2597" s="7"/>
      <c r="G2597" s="7"/>
      <c r="H2597" s="7"/>
      <c r="I2597" s="7"/>
      <c r="J2597" s="7"/>
      <c r="K2597" s="7"/>
      <c r="L2597" s="7"/>
      <c r="M2597" s="7"/>
      <c r="N2597" s="7"/>
      <c r="O2597" s="7"/>
      <c r="P2597" s="5"/>
      <c r="Q2597" s="5"/>
      <c r="R2597" s="5"/>
      <c r="S2597" s="5"/>
      <c r="T2597" s="5"/>
      <c r="U2597" s="5"/>
      <c r="V2597" s="5"/>
      <c r="W2597" s="5"/>
      <c r="X2597" s="5"/>
      <c r="Y2597" s="5"/>
      <c r="Z2597" s="5"/>
    </row>
    <row r="2598" spans="1:26" ht="15.6" x14ac:dyDescent="0.3">
      <c r="A2598" s="18" t="s">
        <v>3</v>
      </c>
      <c r="B2598" s="25" t="s">
        <v>2592</v>
      </c>
      <c r="C2598" s="2" t="str">
        <f ca="1">IFERROR(__xludf.DUMMYFUNCTION("GOOGLETRANSLATE(B2598, ""bn"", ""en"")"),"To see Allah and the Messenger, it is written in the Quran. He who is fortunate enough to be among them, has reached the threshold of Paradise.")</f>
        <v>To see Allah and the Messenger, it is written in the Quran. He who is fortunate enough to be among them, has reached the threshold of Paradise.</v>
      </c>
      <c r="D2598" s="2"/>
      <c r="E2598" s="2"/>
      <c r="F2598" s="2"/>
      <c r="G2598" s="2"/>
      <c r="H2598" s="3"/>
      <c r="I2598" s="3"/>
      <c r="J2598" s="3"/>
      <c r="K2598" s="3"/>
      <c r="L2598" s="3"/>
      <c r="M2598" s="3"/>
      <c r="N2598" s="3"/>
      <c r="O2598" s="3"/>
      <c r="P2598" s="3"/>
      <c r="Q2598" s="3"/>
      <c r="R2598" s="3"/>
      <c r="S2598" s="3"/>
      <c r="T2598" s="3"/>
      <c r="U2598" s="3"/>
      <c r="V2598" s="3"/>
      <c r="W2598" s="3"/>
      <c r="X2598" s="3"/>
      <c r="Y2598" s="3"/>
      <c r="Z2598" s="3"/>
    </row>
    <row r="2599" spans="1:26" ht="15.6" x14ac:dyDescent="0.3">
      <c r="A2599" s="18" t="s">
        <v>3</v>
      </c>
      <c r="B2599" s="25" t="s">
        <v>2593</v>
      </c>
      <c r="C2599" s="2" t="str">
        <f ca="1">IFERROR(__xludf.DUMMYFUNCTION("GOOGLETRANSLATE(B2599, ""bn"", ""en"")"),"There is a small hadith:- The doomsday is with whomever you love.")</f>
        <v>There is a small hadith:- The doomsday is with whomever you love.</v>
      </c>
      <c r="D2599" s="5"/>
      <c r="E2599" s="5"/>
      <c r="F2599" s="5"/>
      <c r="G2599" s="5"/>
      <c r="H2599" s="5"/>
      <c r="I2599" s="5"/>
      <c r="J2599" s="5"/>
      <c r="K2599" s="5"/>
      <c r="L2599" s="5"/>
      <c r="M2599" s="5"/>
      <c r="N2599" s="5"/>
      <c r="O2599" s="5"/>
      <c r="P2599" s="5"/>
      <c r="Q2599" s="5"/>
      <c r="R2599" s="5"/>
      <c r="S2599" s="5"/>
      <c r="T2599" s="5"/>
      <c r="U2599" s="5"/>
      <c r="V2599" s="5"/>
      <c r="W2599" s="5"/>
      <c r="X2599" s="5"/>
      <c r="Y2599" s="5"/>
      <c r="Z2599" s="5"/>
    </row>
    <row r="2600" spans="1:26" ht="15.6" x14ac:dyDescent="0.3">
      <c r="A2600" s="19" t="s">
        <v>8</v>
      </c>
      <c r="B2600" s="26" t="s">
        <v>2594</v>
      </c>
      <c r="C2600" s="2" t="str">
        <f ca="1">IFERROR(__xludf.DUMMYFUNCTION("GOOGLETRANSLATE(B2600, ""bn"", ""en"")"),"Some people attacked the family temple of Kashimpur Paschimpara businessman Subal Das and the local Palpara Namabazar public temple. Incidentally, 20 attackers were arrested and handed over to the police for their involvement in the attack.")</f>
        <v>Some people attacked the family temple of Kashimpur Paschimpara businessman Subal Das and the local Palpara Namabazar public temple. Incidentally, 20 attackers were arrested and handed over to the police for their involvement in the attack.</v>
      </c>
      <c r="D2600" s="7"/>
      <c r="E2600" s="5"/>
      <c r="F2600" s="5"/>
      <c r="G2600" s="5"/>
      <c r="H2600" s="5"/>
      <c r="I2600" s="5"/>
      <c r="J2600" s="5"/>
      <c r="K2600" s="5"/>
      <c r="L2600" s="5"/>
      <c r="M2600" s="5"/>
      <c r="N2600" s="5"/>
      <c r="O2600" s="5"/>
      <c r="P2600" s="5"/>
      <c r="Q2600" s="5"/>
      <c r="R2600" s="5"/>
      <c r="S2600" s="5"/>
      <c r="T2600" s="5"/>
      <c r="U2600" s="5"/>
      <c r="V2600" s="5"/>
      <c r="W2600" s="5"/>
      <c r="X2600" s="5"/>
      <c r="Y2600" s="5"/>
      <c r="Z2600" s="5"/>
    </row>
    <row r="2601" spans="1:26" ht="15.6" x14ac:dyDescent="0.3">
      <c r="A2601" s="19" t="s">
        <v>5</v>
      </c>
      <c r="B2601" s="26" t="s">
        <v>2595</v>
      </c>
      <c r="C2601" s="2" t="str">
        <f ca="1">IFERROR(__xludf.DUMMYFUNCTION("GOOGLETRANSLATE(B2601, ""bn"", ""en"")"),"Around 160 Hindu families were attacked in 21 districts after the 2014 elections, resulting in property damage worth around Rs 40 lakh.")</f>
        <v>Around 160 Hindu families were attacked in 21 districts after the 2014 elections, resulting in property damage worth around Rs 40 lakh.</v>
      </c>
      <c r="D2601" s="7"/>
      <c r="E2601" s="7"/>
      <c r="F2601" s="7"/>
      <c r="G2601" s="7"/>
      <c r="H2601" s="7"/>
      <c r="I2601" s="7"/>
      <c r="J2601" s="5"/>
      <c r="K2601" s="5"/>
      <c r="L2601" s="5"/>
      <c r="M2601" s="5"/>
      <c r="N2601" s="5"/>
      <c r="O2601" s="5"/>
      <c r="P2601" s="5"/>
      <c r="Q2601" s="5"/>
      <c r="R2601" s="5"/>
      <c r="S2601" s="5"/>
      <c r="T2601" s="5"/>
      <c r="U2601" s="5"/>
      <c r="V2601" s="5"/>
      <c r="W2601" s="5"/>
      <c r="X2601" s="5"/>
      <c r="Y2601" s="5"/>
      <c r="Z2601" s="5"/>
    </row>
    <row r="2602" spans="1:26" ht="15.6" x14ac:dyDescent="0.3">
      <c r="A2602" s="19" t="s">
        <v>8</v>
      </c>
      <c r="B2602" s="26" t="s">
        <v>2596</v>
      </c>
      <c r="C2602" s="2" t="str">
        <f ca="1">IFERROR(__xludf.DUMMYFUNCTION("GOOGLETRANSLATE(B2602, ""bn"", ""en"")"),"In 2020, in a village in Rangpur, a mob set fire to a Hindu neighborhood and vandalized a temple after accusing them of blasphemy on Facebook. The local administration later brought the situation under control.")</f>
        <v>In 2020, in a village in Rangpur, a mob set fire to a Hindu neighborhood and vandalized a temple after accusing them of blasphemy on Facebook. The local administration later brought the situation under control.</v>
      </c>
      <c r="D2602" s="5"/>
      <c r="E2602" s="5"/>
      <c r="F2602" s="5"/>
      <c r="G2602" s="5"/>
      <c r="H2602" s="5"/>
      <c r="I2602" s="5"/>
      <c r="J2602" s="5"/>
      <c r="K2602" s="5"/>
      <c r="L2602" s="5"/>
      <c r="M2602" s="5"/>
      <c r="N2602" s="5"/>
      <c r="O2602" s="5"/>
      <c r="P2602" s="5"/>
      <c r="Q2602" s="5"/>
      <c r="R2602" s="5"/>
      <c r="S2602" s="5"/>
      <c r="T2602" s="5"/>
      <c r="U2602" s="5"/>
      <c r="V2602" s="5"/>
      <c r="W2602" s="5"/>
      <c r="X2602" s="5"/>
      <c r="Y2602" s="5"/>
      <c r="Z2602" s="5"/>
    </row>
    <row r="2603" spans="1:26" ht="15.6" x14ac:dyDescent="0.3">
      <c r="A2603" s="18" t="s">
        <v>3</v>
      </c>
      <c r="B2603" s="25" t="s">
        <v>2597</v>
      </c>
      <c r="C2603" s="2" t="str">
        <f ca="1">IFERROR(__xludf.DUMMYFUNCTION("GOOGLETRANSLATE(B2603, ""bn"", ""en"")"),"No one should attack the temple while showing the strength of Islam. Do not do any wrong to Hindu brothers. Yes, this is the beauty of our Islam.")</f>
        <v>No one should attack the temple while showing the strength of Islam. Do not do any wrong to Hindu brothers. Yes, this is the beauty of our Islam.</v>
      </c>
      <c r="D2603" s="5"/>
      <c r="E2603" s="5"/>
      <c r="F2603" s="5"/>
      <c r="G2603" s="5"/>
      <c r="H2603" s="5"/>
      <c r="I2603" s="5"/>
      <c r="J2603" s="5"/>
      <c r="K2603" s="5"/>
      <c r="L2603" s="5"/>
      <c r="M2603" s="5"/>
      <c r="N2603" s="5"/>
      <c r="O2603" s="5"/>
      <c r="P2603" s="5"/>
      <c r="Q2603" s="5"/>
      <c r="R2603" s="5"/>
      <c r="S2603" s="5"/>
      <c r="T2603" s="5"/>
      <c r="U2603" s="5"/>
      <c r="V2603" s="5"/>
      <c r="W2603" s="5"/>
      <c r="X2603" s="5"/>
      <c r="Y2603" s="5"/>
      <c r="Z2603" s="5"/>
    </row>
    <row r="2604" spans="1:26" ht="15.6" x14ac:dyDescent="0.3">
      <c r="A2604" s="18" t="s">
        <v>23</v>
      </c>
      <c r="B2604" s="25" t="s">
        <v>2598</v>
      </c>
      <c r="C2604" s="2" t="str">
        <f ca="1">IFERROR(__xludf.DUMMYFUNCTION("GOOGLETRANSLATE(B2604, ""bn"", ""en"")"),"AK-47s under a tattered flag, with alleged terrorists emerging from behind with weapons. They are dressed in sunnat clothing chanting “Naraye Takbir” and “Allahu Akbar” with Arabic writing around them.")</f>
        <v>AK-47s under a tattered flag, with alleged terrorists emerging from behind with weapons. They are dressed in sunnat clothing chanting “Naraye Takbir” and “Allahu Akbar” with Arabic writing around them.</v>
      </c>
      <c r="D2604" s="2"/>
      <c r="E2604" s="2"/>
      <c r="F2604" s="2"/>
      <c r="G2604" s="2"/>
      <c r="H2604" s="3"/>
      <c r="I2604" s="3"/>
      <c r="J2604" s="3"/>
      <c r="K2604" s="3"/>
      <c r="L2604" s="3"/>
      <c r="M2604" s="3"/>
      <c r="N2604" s="3"/>
      <c r="O2604" s="3"/>
      <c r="P2604" s="3"/>
      <c r="Q2604" s="3"/>
      <c r="R2604" s="3"/>
      <c r="S2604" s="3"/>
      <c r="T2604" s="3"/>
      <c r="U2604" s="3"/>
      <c r="V2604" s="3"/>
      <c r="W2604" s="3"/>
      <c r="X2604" s="3"/>
      <c r="Y2604" s="3"/>
      <c r="Z2604" s="3"/>
    </row>
    <row r="2605" spans="1:26" ht="15.6" x14ac:dyDescent="0.3">
      <c r="A2605" s="18" t="s">
        <v>5</v>
      </c>
      <c r="B2605" s="25" t="s">
        <v>2599</v>
      </c>
      <c r="C2605" s="2" t="str">
        <f ca="1">IFERROR(__xludf.DUMMYFUNCTION("GOOGLETRANSLATE(B2605, ""bn"", ""en"")"),"While Akbar opposed sati-immolation, he praised the voluntary death of widows, which had long legitimized South Asian society a brutal practice of self-immolation and burning in the name of religious belief.")</f>
        <v>While Akbar opposed sati-immolation, he praised the voluntary death of widows, which had long legitimized South Asian society a brutal practice of self-immolation and burning in the name of religious belief.</v>
      </c>
      <c r="D2605" s="5"/>
      <c r="E2605" s="5"/>
      <c r="F2605" s="5"/>
      <c r="G2605" s="5"/>
      <c r="H2605" s="5"/>
      <c r="I2605" s="5"/>
      <c r="J2605" s="5"/>
      <c r="K2605" s="5"/>
      <c r="L2605" s="5"/>
      <c r="M2605" s="5"/>
      <c r="N2605" s="5"/>
      <c r="O2605" s="5"/>
      <c r="P2605" s="5"/>
      <c r="Q2605" s="5"/>
      <c r="R2605" s="5"/>
      <c r="S2605" s="5"/>
      <c r="T2605" s="5"/>
      <c r="U2605" s="5"/>
      <c r="V2605" s="5"/>
      <c r="W2605" s="5"/>
      <c r="X2605" s="5"/>
      <c r="Y2605" s="5"/>
      <c r="Z2605" s="5"/>
    </row>
    <row r="2606" spans="1:26" ht="15.6" x14ac:dyDescent="0.3">
      <c r="A2606" s="19" t="s">
        <v>23</v>
      </c>
      <c r="B2606" s="26" t="s">
        <v>2600</v>
      </c>
      <c r="C2606" s="2" t="str">
        <f ca="1">IFERROR(__xludf.DUMMYFUNCTION("GOOGLETRANSLATE(B2606, ""bn"", ""en"")"),"Showing or proving the superiority of religion is another noteworthy point. Exaggeration about religion is seen among people of almost all religions. At some point there will be no religion, his religion will be victorious and everyone will come to one re"&amp;"ligion, many such statements and opinions are spread in different ways.")</f>
        <v>Showing or proving the superiority of religion is another noteworthy point. Exaggeration about religion is seen among people of almost all religions. At some point there will be no religion, his religion will be victorious and everyone will come to one religion, many such statements and opinions are spread in different ways.</v>
      </c>
      <c r="D2606" s="7"/>
      <c r="E2606" s="7"/>
      <c r="F2606" s="7"/>
      <c r="G2606" s="5"/>
      <c r="H2606" s="5"/>
      <c r="I2606" s="5"/>
      <c r="J2606" s="5"/>
      <c r="K2606" s="5"/>
      <c r="L2606" s="5"/>
      <c r="M2606" s="5"/>
      <c r="N2606" s="5"/>
      <c r="O2606" s="5"/>
      <c r="P2606" s="5"/>
      <c r="Q2606" s="5"/>
      <c r="R2606" s="5"/>
      <c r="S2606" s="5"/>
      <c r="T2606" s="5"/>
      <c r="U2606" s="5"/>
      <c r="V2606" s="5"/>
      <c r="W2606" s="5"/>
      <c r="X2606" s="5"/>
      <c r="Y2606" s="5"/>
      <c r="Z2606" s="5"/>
    </row>
    <row r="2607" spans="1:26" ht="15.6" x14ac:dyDescent="0.3">
      <c r="A2607" s="19" t="s">
        <v>23</v>
      </c>
      <c r="B2607" s="26" t="s">
        <v>2601</v>
      </c>
      <c r="C2607" s="2" t="str">
        <f ca="1">IFERROR(__xludf.DUMMYFUNCTION("GOOGLETRANSLATE(B2607, ""bn"", ""en"")"),"I remember, Mushfiq once gave a picture of Qorbani holding a knife, so he was taunted by these anti-Islamic secularists. Finally, he removed the picture. Where was Tenad's secularism then?")</f>
        <v>I remember, Mushfiq once gave a picture of Qorbani holding a knife, so he was taunted by these anti-Islamic secularists. Finally, he removed the picture. Where was Tenad's secularism then?</v>
      </c>
      <c r="D2607" s="5"/>
      <c r="E2607" s="5"/>
      <c r="F2607" s="5"/>
      <c r="G2607" s="5"/>
      <c r="H2607" s="5"/>
      <c r="I2607" s="5"/>
      <c r="J2607" s="5"/>
      <c r="K2607" s="5"/>
      <c r="L2607" s="5"/>
      <c r="M2607" s="5"/>
      <c r="N2607" s="5"/>
      <c r="O2607" s="5"/>
      <c r="P2607" s="5"/>
      <c r="Q2607" s="5"/>
      <c r="R2607" s="5"/>
      <c r="S2607" s="5"/>
      <c r="T2607" s="5"/>
      <c r="U2607" s="5"/>
      <c r="V2607" s="5"/>
      <c r="W2607" s="5"/>
      <c r="X2607" s="5"/>
      <c r="Y2607" s="5"/>
      <c r="Z2607" s="5"/>
    </row>
    <row r="2608" spans="1:26" ht="15.6" x14ac:dyDescent="0.3">
      <c r="A2608" s="18" t="s">
        <v>5</v>
      </c>
      <c r="B2608" s="24" t="s">
        <v>2602</v>
      </c>
      <c r="C2608" s="2" t="str">
        <f ca="1">IFERROR(__xludf.DUMMYFUNCTION("GOOGLETRANSLATE(B2608, ""bn"", ""en"")"),"In Patuakhali, 43 people lost their lives in clashes due to religious hatred. As the police tried to control the situation, the government called for calm. Many families are left without shelter for safety.")</f>
        <v>In Patuakhali, 43 people lost their lives in clashes due to religious hatred. As the police tried to control the situation, the government called for calm. Many families are left without shelter for safety.</v>
      </c>
      <c r="D2608" s="5"/>
      <c r="E2608" s="5"/>
      <c r="F2608" s="5"/>
      <c r="G2608" s="5"/>
      <c r="H2608" s="5"/>
      <c r="I2608" s="5"/>
      <c r="J2608" s="5"/>
      <c r="K2608" s="5"/>
      <c r="L2608" s="5"/>
      <c r="M2608" s="5"/>
      <c r="N2608" s="5"/>
      <c r="O2608" s="5"/>
      <c r="P2608" s="5"/>
      <c r="Q2608" s="5"/>
      <c r="R2608" s="5"/>
      <c r="S2608" s="5"/>
      <c r="T2608" s="5"/>
      <c r="U2608" s="5"/>
      <c r="V2608" s="5"/>
      <c r="W2608" s="5"/>
      <c r="X2608" s="5"/>
      <c r="Y2608" s="5"/>
      <c r="Z2608" s="5"/>
    </row>
    <row r="2609" spans="1:26" ht="15.6" x14ac:dyDescent="0.3">
      <c r="A2609" s="19" t="s">
        <v>23</v>
      </c>
      <c r="B2609" s="26" t="s">
        <v>2603</v>
      </c>
      <c r="C2609" s="2" t="str">
        <f ca="1">IFERROR(__xludf.DUMMYFUNCTION("GOOGLETRANSLATE(B2609, ""bn"", ""en"")"),"Before the partition of the country, one group tried to achieve their own interests by creating deliberate divisions. We already know the future.")</f>
        <v>Before the partition of the country, one group tried to achieve their own interests by creating deliberate divisions. We already know the future.</v>
      </c>
      <c r="D2609" s="7"/>
      <c r="E2609" s="7"/>
      <c r="F2609" s="7"/>
      <c r="G2609" s="7"/>
      <c r="H2609" s="7"/>
      <c r="I2609" s="7"/>
      <c r="J2609" s="7"/>
      <c r="K2609" s="5"/>
      <c r="L2609" s="5"/>
      <c r="M2609" s="5"/>
      <c r="N2609" s="5"/>
      <c r="O2609" s="5"/>
      <c r="P2609" s="5"/>
      <c r="Q2609" s="5"/>
      <c r="R2609" s="5"/>
      <c r="S2609" s="5"/>
      <c r="T2609" s="5"/>
      <c r="U2609" s="5"/>
      <c r="V2609" s="5"/>
      <c r="W2609" s="5"/>
      <c r="X2609" s="5"/>
      <c r="Y2609" s="5"/>
      <c r="Z2609" s="5"/>
    </row>
    <row r="2610" spans="1:26" ht="15.6" x14ac:dyDescent="0.3">
      <c r="A2610" s="19" t="s">
        <v>3</v>
      </c>
      <c r="B2610" s="26" t="s">
        <v>2604</v>
      </c>
      <c r="C2610" s="2" t="str">
        <f ca="1">IFERROR(__xludf.DUMMYFUNCTION("GOOGLETRANSLATE(B2610, ""bn"", ""en"")"),"When politics weakens, it ties in with religion, which politicians understand better how to represent religion properly, thus making the game more constructive.")</f>
        <v>When politics weakens, it ties in with religion, which politicians understand better how to represent religion properly, thus making the game more constructive.</v>
      </c>
      <c r="D2610" s="5"/>
      <c r="E2610" s="5"/>
      <c r="F2610" s="5"/>
      <c r="G2610" s="5"/>
      <c r="H2610" s="5"/>
      <c r="I2610" s="5"/>
      <c r="J2610" s="5"/>
      <c r="K2610" s="5"/>
      <c r="L2610" s="5"/>
      <c r="M2610" s="5"/>
      <c r="N2610" s="5"/>
      <c r="O2610" s="5"/>
      <c r="P2610" s="5"/>
      <c r="Q2610" s="5"/>
      <c r="R2610" s="5"/>
      <c r="S2610" s="5"/>
      <c r="T2610" s="5"/>
      <c r="U2610" s="5"/>
      <c r="V2610" s="5"/>
      <c r="W2610" s="5"/>
      <c r="X2610" s="5"/>
      <c r="Y2610" s="5"/>
      <c r="Z2610" s="5"/>
    </row>
    <row r="2611" spans="1:26" ht="15.6" x14ac:dyDescent="0.3">
      <c r="A2611" s="18" t="s">
        <v>23</v>
      </c>
      <c r="B2611" s="25" t="s">
        <v>2605</v>
      </c>
      <c r="C2611" s="2" t="str">
        <f ca="1">IFERROR(__xludf.DUMMYFUNCTION("GOOGLETRANSLATE(B2611, ""bn"", ""en"")"),"Why do those who speak of personal freedom object so much to the burqa, when it is clearly a religious order of Islam?")</f>
        <v>Why do those who speak of personal freedom object so much to the burqa, when it is clearly a religious order of Islam?</v>
      </c>
      <c r="D2611" s="2"/>
      <c r="E2611" s="2"/>
      <c r="F2611" s="2"/>
      <c r="G2611" s="2"/>
      <c r="H2611" s="5"/>
      <c r="I2611" s="5"/>
      <c r="J2611" s="5"/>
      <c r="K2611" s="5"/>
      <c r="L2611" s="5"/>
      <c r="M2611" s="5"/>
      <c r="N2611" s="5"/>
      <c r="O2611" s="5"/>
      <c r="P2611" s="5"/>
      <c r="Q2611" s="5"/>
      <c r="R2611" s="5"/>
      <c r="S2611" s="5"/>
      <c r="T2611" s="5"/>
      <c r="U2611" s="5"/>
      <c r="V2611" s="5"/>
      <c r="W2611" s="5"/>
      <c r="X2611" s="5"/>
      <c r="Y2611" s="5"/>
      <c r="Z2611" s="5"/>
    </row>
    <row r="2612" spans="1:26" ht="15.6" x14ac:dyDescent="0.3">
      <c r="A2612" s="18" t="s">
        <v>8</v>
      </c>
      <c r="B2612" s="25" t="s">
        <v>2606</v>
      </c>
      <c r="C2612" s="2" t="str">
        <f ca="1">IFERROR(__xludf.DUMMYFUNCTION("GOOGLETRANSLATE(B2612, ""bn"", ""en"")"),"Muslims are being persecuted in Monirampur, caricatures of the Prophet are being displayed. The Prophet is being insulted. We cannot remain silent.")</f>
        <v>Muslims are being persecuted in Monirampur, caricatures of the Prophet are being displayed. The Prophet is being insulted. We cannot remain silent.</v>
      </c>
      <c r="D2612" s="5"/>
      <c r="E2612" s="5"/>
      <c r="F2612" s="5"/>
      <c r="G2612" s="5"/>
      <c r="H2612" s="5"/>
      <c r="I2612" s="5"/>
      <c r="J2612" s="5"/>
      <c r="K2612" s="5"/>
      <c r="L2612" s="5"/>
      <c r="M2612" s="5"/>
      <c r="N2612" s="5"/>
      <c r="O2612" s="5"/>
      <c r="P2612" s="5"/>
      <c r="Q2612" s="5"/>
      <c r="R2612" s="5"/>
      <c r="S2612" s="5"/>
      <c r="T2612" s="5"/>
      <c r="U2612" s="5"/>
      <c r="V2612" s="5"/>
      <c r="W2612" s="5"/>
      <c r="X2612" s="5"/>
      <c r="Y2612" s="5"/>
      <c r="Z2612" s="5"/>
    </row>
    <row r="2613" spans="1:26" ht="15.6" x14ac:dyDescent="0.3">
      <c r="A2613" s="18" t="s">
        <v>8</v>
      </c>
      <c r="B2613" s="25" t="s">
        <v>2607</v>
      </c>
      <c r="C2613" s="2" t="str">
        <f ca="1">IFERROR(__xludf.DUMMYFUNCTION("GOOGLETRANSLATE(B2613, ""bn"", ""en"")"),"It has been reported that idol vandalism took place in the home factory of professional idol artist Ranjan Kumar Pal of Agardandi village of Satkhira Sadar upazila last Monday night.")</f>
        <v>It has been reported that idol vandalism took place in the home factory of professional idol artist Ranjan Kumar Pal of Agardandi village of Satkhira Sadar upazila last Monday night.</v>
      </c>
      <c r="D2613" s="2"/>
      <c r="E2613" s="2"/>
      <c r="F2613" s="2"/>
      <c r="G2613" s="2"/>
      <c r="H2613" s="3"/>
      <c r="I2613" s="3"/>
      <c r="J2613" s="3"/>
      <c r="K2613" s="3"/>
      <c r="L2613" s="3"/>
      <c r="M2613" s="3"/>
      <c r="N2613" s="3"/>
      <c r="O2613" s="3"/>
      <c r="P2613" s="3"/>
      <c r="Q2613" s="3"/>
      <c r="R2613" s="3"/>
      <c r="S2613" s="3"/>
      <c r="T2613" s="3"/>
      <c r="U2613" s="3"/>
      <c r="V2613" s="3"/>
      <c r="W2613" s="3"/>
      <c r="X2613" s="3"/>
      <c r="Y2613" s="3"/>
      <c r="Z2613" s="3"/>
    </row>
    <row r="2614" spans="1:26" ht="15.6" x14ac:dyDescent="0.3">
      <c r="A2614" s="18" t="s">
        <v>23</v>
      </c>
      <c r="B2614" s="25" t="s">
        <v>2608</v>
      </c>
      <c r="C2614" s="2" t="str">
        <f ca="1">IFERROR(__xludf.DUMMYFUNCTION("GOOGLETRANSLATE(B2614, ""bn"", ""en"")"),"Hindus put the Koran at the feet of their idols, and none of their hairs are shaved. The Muslims protested against it and were beaten.")</f>
        <v>Hindus put the Koran at the feet of their idols, and none of their hairs are shaved. The Muslims protested against it and were beaten.</v>
      </c>
      <c r="D2614" s="2"/>
      <c r="E2614" s="2"/>
      <c r="F2614" s="2"/>
      <c r="G2614" s="2"/>
      <c r="H2614" s="3"/>
      <c r="I2614" s="3"/>
      <c r="J2614" s="3"/>
      <c r="K2614" s="3"/>
      <c r="L2614" s="3"/>
      <c r="M2614" s="3"/>
      <c r="N2614" s="3"/>
      <c r="O2614" s="3"/>
      <c r="P2614" s="3"/>
      <c r="Q2614" s="3"/>
      <c r="R2614" s="3"/>
      <c r="S2614" s="3"/>
      <c r="T2614" s="3"/>
      <c r="U2614" s="3"/>
      <c r="V2614" s="3"/>
      <c r="W2614" s="3"/>
      <c r="X2614" s="3"/>
      <c r="Y2614" s="3"/>
      <c r="Z2614" s="3"/>
    </row>
    <row r="2615" spans="1:26" ht="15.6" x14ac:dyDescent="0.3">
      <c r="A2615" s="18" t="s">
        <v>8</v>
      </c>
      <c r="B2615" s="25" t="s">
        <v>2609</v>
      </c>
      <c r="C2615" s="2" t="str">
        <f ca="1">IFERROR(__xludf.DUMMYFUNCTION("GOOGLETRANSLATE(B2615, ""bn"", ""en"")"),"A human chain was formed demanding the arrest of the accused. At around 7:30 in the evening, the opportunists gathered people from this Manbandhan and vandalized and looted more than 10 shops of the Hindu community in Dighlia Bazar.")</f>
        <v>A human chain was formed demanding the arrest of the accused. At around 7:30 in the evening, the opportunists gathered people from this Manbandhan and vandalized and looted more than 10 shops of the Hindu community in Dighlia Bazar.</v>
      </c>
      <c r="D2615" s="5"/>
      <c r="E2615" s="5"/>
      <c r="F2615" s="5"/>
      <c r="G2615" s="5"/>
      <c r="H2615" s="5"/>
      <c r="I2615" s="5"/>
      <c r="J2615" s="5"/>
      <c r="K2615" s="5"/>
      <c r="L2615" s="5"/>
      <c r="M2615" s="5"/>
      <c r="N2615" s="5"/>
      <c r="O2615" s="5"/>
      <c r="P2615" s="5"/>
      <c r="Q2615" s="5"/>
      <c r="R2615" s="5"/>
      <c r="S2615" s="5"/>
      <c r="T2615" s="5"/>
      <c r="U2615" s="5"/>
      <c r="V2615" s="5"/>
      <c r="W2615" s="5"/>
      <c r="X2615" s="5"/>
      <c r="Y2615" s="5"/>
      <c r="Z2615" s="5"/>
    </row>
    <row r="2616" spans="1:26" ht="15.6" x14ac:dyDescent="0.3">
      <c r="A2616" s="19" t="s">
        <v>5</v>
      </c>
      <c r="B2616" s="26" t="s">
        <v>2610</v>
      </c>
      <c r="C2616" s="2" t="str">
        <f ca="1">IFERROR(__xludf.DUMMYFUNCTION("GOOGLETRANSLATE(B2616, ""bn"", ""en"")"),"Over a hundred Muslims were killed by extremists in a communal riot in Rangpur's Muslim-dominated area.")</f>
        <v>Over a hundred Muslims were killed by extremists in a communal riot in Rangpur's Muslim-dominated area.</v>
      </c>
      <c r="D2616" s="7"/>
      <c r="E2616" s="7"/>
      <c r="F2616" s="7"/>
      <c r="G2616" s="5"/>
      <c r="H2616" s="5"/>
      <c r="I2616" s="5"/>
      <c r="J2616" s="5"/>
      <c r="K2616" s="5"/>
      <c r="L2616" s="5"/>
      <c r="M2616" s="5"/>
      <c r="N2616" s="5"/>
      <c r="O2616" s="5"/>
      <c r="P2616" s="5"/>
      <c r="Q2616" s="5"/>
      <c r="R2616" s="5"/>
      <c r="S2616" s="5"/>
      <c r="T2616" s="5"/>
      <c r="U2616" s="5"/>
      <c r="V2616" s="5"/>
      <c r="W2616" s="5"/>
      <c r="X2616" s="5"/>
      <c r="Y2616" s="5"/>
      <c r="Z2616" s="5"/>
    </row>
    <row r="2617" spans="1:26" ht="15.6" x14ac:dyDescent="0.3">
      <c r="A2617" s="18" t="s">
        <v>23</v>
      </c>
      <c r="B2617" s="25" t="s">
        <v>2611</v>
      </c>
      <c r="C2617" s="2" t="str">
        <f ca="1">IFERROR(__xludf.DUMMYFUNCTION("GOOGLETRANSLATE(B2617, ""bn"", ""en"")"),"Some Muslim countries also ban non-Muslims from their countries, which is against true Islam and unacceptable.")</f>
        <v>Some Muslim countries also ban non-Muslims from their countries, which is against true Islam and unacceptable.</v>
      </c>
      <c r="D2617" s="2"/>
      <c r="E2617" s="2"/>
      <c r="F2617" s="2"/>
      <c r="G2617" s="2"/>
      <c r="H2617" s="3"/>
      <c r="I2617" s="3"/>
      <c r="J2617" s="3"/>
      <c r="K2617" s="3"/>
      <c r="L2617" s="3"/>
      <c r="M2617" s="3"/>
      <c r="N2617" s="3"/>
      <c r="O2617" s="3"/>
      <c r="P2617" s="3"/>
      <c r="Q2617" s="3"/>
      <c r="R2617" s="3"/>
      <c r="S2617" s="3"/>
      <c r="T2617" s="3"/>
      <c r="U2617" s="3"/>
      <c r="V2617" s="3"/>
      <c r="W2617" s="3"/>
      <c r="X2617" s="3"/>
      <c r="Y2617" s="3"/>
      <c r="Z2617" s="3"/>
    </row>
    <row r="2618" spans="1:26" ht="15.6" x14ac:dyDescent="0.3">
      <c r="A2618" s="19" t="s">
        <v>5</v>
      </c>
      <c r="B2618" s="26" t="s">
        <v>2612</v>
      </c>
      <c r="C2618" s="2" t="str">
        <f ca="1">IFERROR(__xludf.DUMMYFUNCTION("GOOGLETRANSLATE(B2618, ""bn"", ""en"")"),"Wherever Hindus were, Muslims started killing them. By afternoon, 90% of Dhaka's Hindu shops and businesses were looted and destroyed by fire.")</f>
        <v>Wherever Hindus were, Muslims started killing them. By afternoon, 90% of Dhaka's Hindu shops and businesses were looted and destroyed by fire.</v>
      </c>
      <c r="D2618" s="7"/>
      <c r="E2618" s="7"/>
      <c r="F2618" s="7"/>
      <c r="G2618" s="7"/>
      <c r="H2618" s="7"/>
      <c r="I2618" s="7"/>
      <c r="J2618" s="7"/>
      <c r="K2618" s="7"/>
      <c r="L2618" s="5"/>
      <c r="M2618" s="5"/>
      <c r="N2618" s="5"/>
      <c r="O2618" s="5"/>
      <c r="P2618" s="5"/>
      <c r="Q2618" s="5"/>
      <c r="R2618" s="5"/>
      <c r="S2618" s="5"/>
      <c r="T2618" s="5"/>
      <c r="U2618" s="5"/>
      <c r="V2618" s="5"/>
      <c r="W2618" s="5"/>
      <c r="X2618" s="5"/>
      <c r="Y2618" s="5"/>
      <c r="Z2618" s="5"/>
    </row>
    <row r="2619" spans="1:26" ht="15.6" x14ac:dyDescent="0.3">
      <c r="A2619" s="18" t="s">
        <v>3</v>
      </c>
      <c r="B2619" s="25" t="s">
        <v>2613</v>
      </c>
      <c r="C2619" s="2" t="str">
        <f ca="1">IFERROR(__xludf.DUMMYFUNCTION("GOOGLETRANSLATE(B2619, ""bn"", ""en"")"),"A few people can sit together and discuss political activities over iftar.")</f>
        <v>A few people can sit together and discuss political activities over iftar.</v>
      </c>
      <c r="D2619" s="5"/>
      <c r="E2619" s="5"/>
      <c r="F2619" s="5"/>
      <c r="G2619" s="5"/>
      <c r="H2619" s="5"/>
      <c r="I2619" s="5"/>
      <c r="J2619" s="5"/>
      <c r="K2619" s="5"/>
      <c r="L2619" s="5"/>
      <c r="M2619" s="5"/>
      <c r="N2619" s="5"/>
      <c r="O2619" s="5"/>
      <c r="P2619" s="5"/>
      <c r="Q2619" s="5"/>
      <c r="R2619" s="5"/>
      <c r="S2619" s="5"/>
      <c r="T2619" s="5"/>
      <c r="U2619" s="5"/>
      <c r="V2619" s="5"/>
      <c r="W2619" s="5"/>
      <c r="X2619" s="5"/>
      <c r="Y2619" s="5"/>
      <c r="Z2619" s="5"/>
    </row>
    <row r="2620" spans="1:26" ht="15.6" x14ac:dyDescent="0.3">
      <c r="A2620" s="18" t="s">
        <v>23</v>
      </c>
      <c r="B2620" s="25" t="s">
        <v>2614</v>
      </c>
      <c r="C2620" s="2" t="str">
        <f ca="1">IFERROR(__xludf.DUMMYFUNCTION("GOOGLETRANSLATE(B2620, ""bn"", ""en"")"),"Despite the 1976 document, some anti-Islamic Hindu groups have risen up to occupy the mosque's land—they are involved in a conspiracy to destroy the mosque.")</f>
        <v>Despite the 1976 document, some anti-Islamic Hindu groups have risen up to occupy the mosque's land—they are involved in a conspiracy to destroy the mosque.</v>
      </c>
      <c r="D2620" s="5"/>
      <c r="E2620" s="5"/>
      <c r="F2620" s="5"/>
      <c r="G2620" s="5"/>
      <c r="H2620" s="5"/>
      <c r="I2620" s="5"/>
      <c r="J2620" s="5"/>
      <c r="K2620" s="5"/>
      <c r="L2620" s="5"/>
      <c r="M2620" s="5"/>
      <c r="N2620" s="5"/>
      <c r="O2620" s="5"/>
      <c r="P2620" s="5"/>
      <c r="Q2620" s="5"/>
      <c r="R2620" s="5"/>
      <c r="S2620" s="5"/>
      <c r="T2620" s="5"/>
      <c r="U2620" s="5"/>
      <c r="V2620" s="5"/>
      <c r="W2620" s="5"/>
      <c r="X2620" s="5"/>
      <c r="Y2620" s="5"/>
      <c r="Z2620" s="5"/>
    </row>
    <row r="2621" spans="1:26" ht="15.6" x14ac:dyDescent="0.3">
      <c r="A2621" s="18" t="s">
        <v>8</v>
      </c>
      <c r="B2621" s="24" t="s">
        <v>2615</v>
      </c>
      <c r="C2621" s="2" t="str">
        <f ca="1">IFERROR(__xludf.DUMMYFUNCTION("GOOGLETRANSLATE(B2621, ""bn"", ""en"")"),"In Barguna, the walls of the church were broken down and papers with hateful messages were thrown on the ground.")</f>
        <v>In Barguna, the walls of the church were broken down and papers with hateful messages were thrown on the ground.</v>
      </c>
      <c r="D2621" s="5"/>
      <c r="E2621" s="5"/>
      <c r="F2621" s="5"/>
      <c r="G2621" s="5"/>
      <c r="H2621" s="5"/>
      <c r="I2621" s="5"/>
      <c r="J2621" s="5"/>
      <c r="K2621" s="5"/>
      <c r="L2621" s="5"/>
      <c r="M2621" s="5"/>
      <c r="N2621" s="5"/>
      <c r="O2621" s="5"/>
      <c r="P2621" s="5"/>
      <c r="Q2621" s="5"/>
      <c r="R2621" s="5"/>
      <c r="S2621" s="5"/>
      <c r="T2621" s="5"/>
      <c r="U2621" s="5"/>
      <c r="V2621" s="5"/>
      <c r="W2621" s="5"/>
      <c r="X2621" s="5"/>
      <c r="Y2621" s="5"/>
      <c r="Z2621" s="5"/>
    </row>
    <row r="2622" spans="1:26" ht="15.6" x14ac:dyDescent="0.3">
      <c r="A2622" s="18" t="s">
        <v>8</v>
      </c>
      <c r="B2622" s="25" t="s">
        <v>2616</v>
      </c>
      <c r="C2622" s="2" t="str">
        <f ca="1">IFERROR(__xludf.DUMMYFUNCTION("GOOGLETRANSLATE(B2622, ""bn"", ""en"")"),"Before dawn on June 14, the Razakars attacked Adityapur, set fire to the mosque, tore up the Quran. Entire villages are victims of religious brutality in their sleep.")</f>
        <v>Before dawn on June 14, the Razakars attacked Adityapur, set fire to the mosque, tore up the Quran. Entire villages are victims of religious brutality in their sleep.</v>
      </c>
      <c r="D2622" s="5"/>
      <c r="E2622" s="5"/>
      <c r="F2622" s="5"/>
      <c r="G2622" s="5"/>
      <c r="H2622" s="5"/>
      <c r="I2622" s="5"/>
      <c r="J2622" s="5"/>
      <c r="K2622" s="5"/>
      <c r="L2622" s="5"/>
      <c r="M2622" s="5"/>
      <c r="N2622" s="5"/>
      <c r="O2622" s="5"/>
      <c r="P2622" s="5"/>
      <c r="Q2622" s="5"/>
      <c r="R2622" s="5"/>
      <c r="S2622" s="5"/>
      <c r="T2622" s="5"/>
      <c r="U2622" s="5"/>
      <c r="V2622" s="5"/>
      <c r="W2622" s="5"/>
      <c r="X2622" s="5"/>
      <c r="Y2622" s="5"/>
      <c r="Z2622" s="5"/>
    </row>
    <row r="2623" spans="1:26" ht="15.6" x14ac:dyDescent="0.3">
      <c r="A2623" s="18" t="s">
        <v>5</v>
      </c>
      <c r="B2623" s="24" t="s">
        <v>2617</v>
      </c>
      <c r="C2623" s="2" t="str">
        <f ca="1">IFERROR(__xludf.DUMMYFUNCTION("GOOGLETRANSLATE(B2623, ""bn"", ""en"")"),"In October 2001, there were widespread attacks on minorities after the elections. Many Hindu women were raped, houses looted and set on fire, killing at least 45 people.")</f>
        <v>In October 2001, there were widespread attacks on minorities after the elections. Many Hindu women were raped, houses looted and set on fire, killing at least 45 people.</v>
      </c>
      <c r="D2623" s="5"/>
      <c r="E2623" s="5"/>
      <c r="F2623" s="5"/>
      <c r="G2623" s="5"/>
      <c r="H2623" s="5"/>
      <c r="I2623" s="5"/>
      <c r="J2623" s="5"/>
      <c r="K2623" s="5"/>
      <c r="L2623" s="5"/>
      <c r="M2623" s="5"/>
      <c r="N2623" s="5"/>
      <c r="O2623" s="5"/>
      <c r="P2623" s="5"/>
      <c r="Q2623" s="5"/>
      <c r="R2623" s="5"/>
      <c r="S2623" s="5"/>
      <c r="T2623" s="5"/>
      <c r="U2623" s="5"/>
      <c r="V2623" s="5"/>
      <c r="W2623" s="5"/>
      <c r="X2623" s="5"/>
      <c r="Y2623" s="5"/>
      <c r="Z2623" s="5"/>
    </row>
    <row r="2624" spans="1:26" ht="15.6" x14ac:dyDescent="0.3">
      <c r="A2624" s="18" t="s">
        <v>3</v>
      </c>
      <c r="B2624" s="25" t="s">
        <v>2618</v>
      </c>
      <c r="C2624" s="2" t="str">
        <f ca="1">IFERROR(__xludf.DUMMYFUNCTION("GOOGLETRANSLATE(B2624, ""bn"", ""en"")"),"The good and bad of man's destiny is determined by Allah. Allah says, 'I have created everything in measure, My command is complete in a word, like the twinkling of an eye.")</f>
        <v>The good and bad of man's destiny is determined by Allah. Allah says, 'I have created everything in measure, My command is complete in a word, like the twinkling of an eye.</v>
      </c>
      <c r="D2624" s="5"/>
      <c r="E2624" s="5"/>
      <c r="F2624" s="5"/>
      <c r="G2624" s="5"/>
      <c r="H2624" s="5"/>
      <c r="I2624" s="5"/>
      <c r="J2624" s="5"/>
      <c r="K2624" s="5"/>
      <c r="L2624" s="5"/>
      <c r="M2624" s="5"/>
      <c r="N2624" s="5"/>
      <c r="O2624" s="5"/>
      <c r="P2624" s="5"/>
      <c r="Q2624" s="5"/>
      <c r="R2624" s="5"/>
      <c r="S2624" s="5"/>
      <c r="T2624" s="5"/>
      <c r="U2624" s="5"/>
      <c r="V2624" s="5"/>
      <c r="W2624" s="5"/>
      <c r="X2624" s="5"/>
      <c r="Y2624" s="5"/>
      <c r="Z2624" s="5"/>
    </row>
    <row r="2625" spans="1:26" ht="15.6" x14ac:dyDescent="0.3">
      <c r="A2625" s="18" t="s">
        <v>5</v>
      </c>
      <c r="B2625" s="24" t="s">
        <v>2619</v>
      </c>
      <c r="C2625" s="2" t="str">
        <f ca="1">IFERROR(__xludf.DUMMYFUNCTION("GOOGLETRANSLATE(B2625, ""bn"", ""en"")"),"From October 30 to November 2, 1990, Hindu communities were attacked in various places including Dhaka after rumors of the Babri Masjid demolition spread. Hundreds of temples and houses were destroyed, many people were injured, at least 32 people were kil"&amp;"led.")</f>
        <v>From October 30 to November 2, 1990, Hindu communities were attacked in various places including Dhaka after rumors of the Babri Masjid demolition spread. Hundreds of temples and houses were destroyed, many people were injured, at least 32 people were killed.</v>
      </c>
      <c r="D2625" s="5"/>
      <c r="E2625" s="5"/>
      <c r="F2625" s="5"/>
      <c r="G2625" s="5"/>
      <c r="H2625" s="5"/>
      <c r="I2625" s="5"/>
      <c r="J2625" s="5"/>
      <c r="K2625" s="5"/>
      <c r="L2625" s="5"/>
      <c r="M2625" s="5"/>
      <c r="N2625" s="5"/>
      <c r="O2625" s="5"/>
      <c r="P2625" s="5"/>
      <c r="Q2625" s="5"/>
      <c r="R2625" s="5"/>
      <c r="S2625" s="5"/>
      <c r="T2625" s="5"/>
      <c r="U2625" s="5"/>
      <c r="V2625" s="5"/>
      <c r="W2625" s="5"/>
      <c r="X2625" s="5"/>
      <c r="Y2625" s="5"/>
      <c r="Z2625" s="5"/>
    </row>
    <row r="2626" spans="1:26" ht="15.6" x14ac:dyDescent="0.3">
      <c r="A2626" s="19" t="s">
        <v>5</v>
      </c>
      <c r="B2626" s="26" t="s">
        <v>2620</v>
      </c>
      <c r="C2626" s="2" t="str">
        <f ca="1">IFERROR(__xludf.DUMMYFUNCTION("GOOGLETRANSLATE(B2626, ""bn"", ""en"")"),"Many Christian families were burned alive. [8] Thousands of Christians were forced to convert to Hinduism under threat of violence.")</f>
        <v>Many Christian families were burned alive. [8] Thousands of Christians were forced to convert to Hinduism under threat of violence.</v>
      </c>
      <c r="D2626" s="5"/>
      <c r="E2626" s="5"/>
      <c r="F2626" s="5"/>
      <c r="G2626" s="5"/>
      <c r="H2626" s="5"/>
      <c r="I2626" s="5"/>
      <c r="J2626" s="5"/>
      <c r="K2626" s="5"/>
      <c r="L2626" s="5"/>
      <c r="M2626" s="5"/>
      <c r="N2626" s="5"/>
      <c r="O2626" s="5"/>
      <c r="P2626" s="5"/>
      <c r="Q2626" s="5"/>
      <c r="R2626" s="5"/>
      <c r="S2626" s="5"/>
      <c r="T2626" s="5"/>
      <c r="U2626" s="5"/>
      <c r="V2626" s="5"/>
      <c r="W2626" s="5"/>
      <c r="X2626" s="5"/>
      <c r="Y2626" s="5"/>
      <c r="Z2626" s="5"/>
    </row>
    <row r="2627" spans="1:26" ht="15.6" x14ac:dyDescent="0.3">
      <c r="A2627" s="18" t="s">
        <v>8</v>
      </c>
      <c r="B2627" s="25" t="s">
        <v>2621</v>
      </c>
      <c r="C2627" s="2" t="str">
        <f ca="1">IFERROR(__xludf.DUMMYFUNCTION("GOOGLETRANSLATE(B2627, ""bn"", ""en"")"),"On the night of January 7, masked men attacked two Hindu houses in Hazrail Rishipalli of Manirampur upazila in Jessore district. They took men hostage, gang-raped women.")</f>
        <v>On the night of January 7, masked men attacked two Hindu houses in Hazrail Rishipalli of Manirampur upazila in Jessore district. They took men hostage, gang-raped women.</v>
      </c>
      <c r="D2627" s="2"/>
      <c r="E2627" s="2"/>
      <c r="F2627" s="2"/>
      <c r="G2627" s="2"/>
      <c r="H2627" s="3"/>
      <c r="I2627" s="3"/>
      <c r="J2627" s="3"/>
      <c r="K2627" s="3"/>
      <c r="L2627" s="3"/>
      <c r="M2627" s="3"/>
      <c r="N2627" s="3"/>
      <c r="O2627" s="3"/>
      <c r="P2627" s="3"/>
      <c r="Q2627" s="3"/>
      <c r="R2627" s="3"/>
      <c r="S2627" s="3"/>
      <c r="T2627" s="3"/>
      <c r="U2627" s="3"/>
      <c r="V2627" s="3"/>
      <c r="W2627" s="3"/>
      <c r="X2627" s="3"/>
      <c r="Y2627" s="3"/>
      <c r="Z2627" s="3"/>
    </row>
    <row r="2628" spans="1:26" ht="15.6" x14ac:dyDescent="0.3">
      <c r="A2628" s="19" t="s">
        <v>3</v>
      </c>
      <c r="B2628" s="26" t="s">
        <v>2622</v>
      </c>
      <c r="C2628" s="2" t="str">
        <f ca="1">IFERROR(__xludf.DUMMYFUNCTION("GOOGLETRANSLATE(B2628, ""bn"", ""en"")"),"Narrated by Hazrat Anas (R.A.), Rasulullah (S.A.W.) said, No one wishes for death even if he is in danger.")</f>
        <v>Narrated by Hazrat Anas (R.A.), Rasulullah (S.A.W.) said, No one wishes for death even if he is in danger.</v>
      </c>
      <c r="D2628" s="7"/>
      <c r="E2628" s="7"/>
      <c r="F2628" s="7"/>
      <c r="G2628" s="5"/>
      <c r="H2628" s="5"/>
      <c r="I2628" s="5"/>
      <c r="J2628" s="5"/>
      <c r="K2628" s="5"/>
      <c r="L2628" s="5"/>
      <c r="M2628" s="5"/>
      <c r="N2628" s="5"/>
      <c r="O2628" s="5"/>
      <c r="P2628" s="5"/>
      <c r="Q2628" s="5"/>
      <c r="R2628" s="5"/>
      <c r="S2628" s="5"/>
      <c r="T2628" s="5"/>
      <c r="U2628" s="5"/>
      <c r="V2628" s="5"/>
      <c r="W2628" s="5"/>
      <c r="X2628" s="5"/>
      <c r="Y2628" s="5"/>
      <c r="Z2628" s="5"/>
    </row>
    <row r="2629" spans="1:26" ht="15.6" x14ac:dyDescent="0.3">
      <c r="A2629" s="18" t="s">
        <v>5</v>
      </c>
      <c r="B2629" s="24" t="s">
        <v>2623</v>
      </c>
      <c r="C2629" s="2" t="str">
        <f ca="1">IFERROR(__xludf.DUMMYFUNCTION("GOOGLETRANSLATE(B2629, ""bn"", ""en"")"),"In Lalmonirhat, minority houses were burnt due to religious hatred; 26 people were killed.")</f>
        <v>In Lalmonirhat, minority houses were burnt due to religious hatred; 26 people were killed.</v>
      </c>
      <c r="D2629" s="5"/>
      <c r="E2629" s="5"/>
      <c r="F2629" s="5"/>
      <c r="G2629" s="5"/>
      <c r="H2629" s="5"/>
      <c r="I2629" s="5"/>
      <c r="J2629" s="5"/>
      <c r="K2629" s="5"/>
      <c r="L2629" s="5"/>
      <c r="M2629" s="5"/>
      <c r="N2629" s="5"/>
      <c r="O2629" s="5"/>
      <c r="P2629" s="5"/>
      <c r="Q2629" s="5"/>
      <c r="R2629" s="5"/>
      <c r="S2629" s="5"/>
      <c r="T2629" s="5"/>
      <c r="U2629" s="5"/>
      <c r="V2629" s="5"/>
      <c r="W2629" s="5"/>
      <c r="X2629" s="5"/>
      <c r="Y2629" s="5"/>
      <c r="Z2629" s="5"/>
    </row>
    <row r="2630" spans="1:26" ht="15.6" x14ac:dyDescent="0.3">
      <c r="A2630" s="19" t="s">
        <v>8</v>
      </c>
      <c r="B2630" s="26" t="s">
        <v>2624</v>
      </c>
      <c r="C2630" s="2" t="str">
        <f ca="1">IFERROR(__xludf.DUMMYFUNCTION("GOOGLETRANSLATE(B2630, ""bn"", ""en"")"),"A group of youths pelted stones during the Aarti at a Hindu temple in Gaibandha, videotaping the incident and spreading it on social media.")</f>
        <v>A group of youths pelted stones during the Aarti at a Hindu temple in Gaibandha, videotaping the incident and spreading it on social media.</v>
      </c>
      <c r="D2630" s="5"/>
      <c r="E2630" s="5"/>
      <c r="F2630" s="5"/>
      <c r="G2630" s="5"/>
      <c r="H2630" s="5"/>
      <c r="I2630" s="5"/>
      <c r="J2630" s="5"/>
      <c r="K2630" s="5"/>
      <c r="L2630" s="5"/>
      <c r="M2630" s="5"/>
      <c r="N2630" s="5"/>
      <c r="O2630" s="5"/>
      <c r="P2630" s="5"/>
      <c r="Q2630" s="5"/>
      <c r="R2630" s="5"/>
      <c r="S2630" s="5"/>
      <c r="T2630" s="5"/>
      <c r="U2630" s="5"/>
      <c r="V2630" s="5"/>
      <c r="W2630" s="5"/>
      <c r="X2630" s="5"/>
      <c r="Y2630" s="5"/>
      <c r="Z2630" s="5"/>
    </row>
    <row r="2631" spans="1:26" ht="15.6" x14ac:dyDescent="0.3">
      <c r="A2631" s="18" t="s">
        <v>8</v>
      </c>
      <c r="B2631" s="25" t="s">
        <v>2625</v>
      </c>
      <c r="C2631" s="2" t="str">
        <f ca="1">IFERROR(__xludf.DUMMYFUNCTION("GOOGLETRANSLATE(B2631, ""bn"", ""en"")"),"From February 15 to March 1 there were reports of 15 stabbings of Hindus in Laujung and Dighali. On 28 February, the entire Dighali Bazaar was burnt to ashes.")</f>
        <v>From February 15 to March 1 there were reports of 15 stabbings of Hindus in Laujung and Dighali. On 28 February, the entire Dighali Bazaar was burnt to ashes.</v>
      </c>
      <c r="D2631" s="5"/>
      <c r="E2631" s="5"/>
      <c r="F2631" s="5"/>
      <c r="G2631" s="5"/>
      <c r="H2631" s="5"/>
      <c r="I2631" s="5"/>
      <c r="J2631" s="5"/>
      <c r="K2631" s="5"/>
      <c r="L2631" s="5"/>
      <c r="M2631" s="5"/>
      <c r="N2631" s="5"/>
      <c r="O2631" s="5"/>
      <c r="P2631" s="5"/>
      <c r="Q2631" s="5"/>
      <c r="R2631" s="5"/>
      <c r="S2631" s="5"/>
      <c r="T2631" s="5"/>
      <c r="U2631" s="5"/>
      <c r="V2631" s="5"/>
      <c r="W2631" s="5"/>
      <c r="X2631" s="5"/>
      <c r="Y2631" s="5"/>
      <c r="Z2631" s="5"/>
    </row>
    <row r="2632" spans="1:26" ht="15.6" x14ac:dyDescent="0.3">
      <c r="A2632" s="18" t="s">
        <v>5</v>
      </c>
      <c r="B2632" s="24" t="s">
        <v>2626</v>
      </c>
      <c r="C2632" s="2" t="str">
        <f ca="1">IFERROR(__xludf.DUMMYFUNCTION("GOOGLETRANSLATE(B2632, ""bn"", ""en"")"),"In February 2017, 19 people committed suicide when minorities were not allowed in educational institutions due to religious pressure.")</f>
        <v>In February 2017, 19 people committed suicide when minorities were not allowed in educational institutions due to religious pressure.</v>
      </c>
      <c r="D2632" s="5"/>
      <c r="E2632" s="5"/>
      <c r="F2632" s="5"/>
      <c r="G2632" s="5"/>
      <c r="H2632" s="5"/>
      <c r="I2632" s="5"/>
      <c r="J2632" s="5"/>
      <c r="K2632" s="5"/>
      <c r="L2632" s="5"/>
      <c r="M2632" s="5"/>
      <c r="N2632" s="5"/>
      <c r="O2632" s="5"/>
      <c r="P2632" s="5"/>
      <c r="Q2632" s="5"/>
      <c r="R2632" s="5"/>
      <c r="S2632" s="5"/>
      <c r="T2632" s="5"/>
      <c r="U2632" s="5"/>
      <c r="V2632" s="5"/>
      <c r="W2632" s="5"/>
      <c r="X2632" s="5"/>
      <c r="Y2632" s="5"/>
      <c r="Z2632" s="5"/>
    </row>
    <row r="2633" spans="1:26" ht="15.6" x14ac:dyDescent="0.3">
      <c r="A2633" s="19" t="s">
        <v>8</v>
      </c>
      <c r="B2633" s="26" t="s">
        <v>2627</v>
      </c>
      <c r="C2633" s="2" t="str">
        <f ca="1">IFERROR(__xludf.DUMMYFUNCTION("GOOGLETRANSLATE(B2633, ""bn"", ""en"")"),"A few houses of Hindus were vandalized and set on fire in Muradnagar of Comilla last Sunday due to rumors of insulting religion on Facebook. The police there believe that there is an organized group behind this incident.")</f>
        <v>A few houses of Hindus were vandalized and set on fire in Muradnagar of Comilla last Sunday due to rumors of insulting religion on Facebook. The police there believe that there is an organized group behind this incident.</v>
      </c>
      <c r="D2633" s="5"/>
      <c r="E2633" s="5"/>
      <c r="F2633" s="5"/>
      <c r="G2633" s="5"/>
      <c r="H2633" s="5"/>
      <c r="I2633" s="5"/>
      <c r="J2633" s="5"/>
      <c r="K2633" s="5"/>
      <c r="L2633" s="5"/>
      <c r="M2633" s="5"/>
      <c r="N2633" s="5"/>
      <c r="O2633" s="5"/>
      <c r="P2633" s="5"/>
      <c r="Q2633" s="5"/>
      <c r="R2633" s="5"/>
      <c r="S2633" s="5"/>
      <c r="T2633" s="5"/>
      <c r="U2633" s="5"/>
      <c r="V2633" s="5"/>
      <c r="W2633" s="5"/>
      <c r="X2633" s="5"/>
      <c r="Y2633" s="5"/>
      <c r="Z2633" s="5"/>
    </row>
    <row r="2634" spans="1:26" ht="15.6" x14ac:dyDescent="0.3">
      <c r="A2634" s="19" t="s">
        <v>5</v>
      </c>
      <c r="B2634" s="26" t="s">
        <v>2628</v>
      </c>
      <c r="C2634" s="2" t="str">
        <f ca="1">IFERROR(__xludf.DUMMYFUNCTION("GOOGLETRANSLATE(B2634, ""bn"", ""en"")"),"There is evidence of brutal persecution of Hindu Bengalis in various villages of Dhemaji district.")</f>
        <v>There is evidence of brutal persecution of Hindu Bengalis in various villages of Dhemaji district.</v>
      </c>
      <c r="D2634" s="2"/>
      <c r="E2634" s="2"/>
      <c r="F2634" s="2"/>
      <c r="G2634" s="2"/>
      <c r="H2634" s="3"/>
      <c r="I2634" s="3"/>
      <c r="J2634" s="3"/>
      <c r="K2634" s="3"/>
      <c r="L2634" s="3"/>
      <c r="M2634" s="3"/>
      <c r="N2634" s="3"/>
      <c r="O2634" s="3"/>
      <c r="P2634" s="3"/>
      <c r="Q2634" s="3"/>
      <c r="R2634" s="3"/>
      <c r="S2634" s="3"/>
      <c r="T2634" s="3"/>
      <c r="U2634" s="3"/>
      <c r="V2634" s="3"/>
      <c r="W2634" s="3"/>
      <c r="X2634" s="3"/>
      <c r="Y2634" s="3"/>
      <c r="Z2634" s="3"/>
    </row>
    <row r="2635" spans="1:26" ht="15.6" x14ac:dyDescent="0.3">
      <c r="A2635" s="19" t="s">
        <v>5</v>
      </c>
      <c r="B2635" s="26" t="s">
        <v>2629</v>
      </c>
      <c r="C2635" s="2" t="str">
        <f ca="1">IFERROR(__xludf.DUMMYFUNCTION("GOOGLETRANSLATE(B2635, ""bn"", ""en"")"),"Shovarani Bose and her two daughters were tortured and killed in a village in Narsingdi. The Muslims killed, raped, looted and set fire to at least 350 Hindu houses in villages.")</f>
        <v>Shovarani Bose and her two daughters were tortured and killed in a village in Narsingdi. The Muslims killed, raped, looted and set fire to at least 350 Hindu houses in villages.</v>
      </c>
      <c r="D2635" s="7"/>
      <c r="E2635" s="7"/>
      <c r="F2635" s="7"/>
      <c r="G2635" s="7"/>
      <c r="H2635" s="7"/>
      <c r="I2635" s="7"/>
      <c r="J2635" s="7"/>
      <c r="K2635" s="7"/>
      <c r="L2635" s="7"/>
      <c r="M2635" s="7"/>
      <c r="N2635" s="7"/>
      <c r="O2635" s="5"/>
      <c r="P2635" s="5"/>
      <c r="Q2635" s="5"/>
      <c r="R2635" s="5"/>
      <c r="S2635" s="5"/>
      <c r="T2635" s="5"/>
      <c r="U2635" s="5"/>
      <c r="V2635" s="5"/>
      <c r="W2635" s="5"/>
      <c r="X2635" s="5"/>
      <c r="Y2635" s="5"/>
      <c r="Z2635" s="5"/>
    </row>
    <row r="2636" spans="1:26" ht="15.6" x14ac:dyDescent="0.3">
      <c r="A2636" s="18" t="s">
        <v>5</v>
      </c>
      <c r="B2636" s="24" t="s">
        <v>2630</v>
      </c>
      <c r="C2636" s="2" t="str">
        <f ca="1">IFERROR(__xludf.DUMMYFUNCTION("GOOGLETRANSLATE(B2636, ""bn"", ""en"")"),"Militants entered a church during prayers and opened fire, killing 18 Christians. The video of this attack spread on social media and spread panic. Total killed: 18 people.")</f>
        <v>Militants entered a church during prayers and opened fire, killing 18 Christians. The video of this attack spread on social media and spread panic. Total killed: 18 people.</v>
      </c>
      <c r="D2636" s="5"/>
      <c r="E2636" s="5"/>
      <c r="F2636" s="5"/>
      <c r="G2636" s="5"/>
      <c r="H2636" s="5"/>
      <c r="I2636" s="5"/>
      <c r="J2636" s="5"/>
      <c r="K2636" s="5"/>
      <c r="L2636" s="5"/>
      <c r="M2636" s="5"/>
      <c r="N2636" s="5"/>
      <c r="O2636" s="5"/>
      <c r="P2636" s="5"/>
      <c r="Q2636" s="5"/>
      <c r="R2636" s="5"/>
      <c r="S2636" s="5"/>
      <c r="T2636" s="5"/>
      <c r="U2636" s="5"/>
      <c r="V2636" s="5"/>
      <c r="W2636" s="5"/>
      <c r="X2636" s="5"/>
      <c r="Y2636" s="5"/>
      <c r="Z2636" s="5"/>
    </row>
    <row r="2637" spans="1:26" ht="15.6" x14ac:dyDescent="0.3">
      <c r="A2637" s="18" t="s">
        <v>3</v>
      </c>
      <c r="B2637" s="24" t="s">
        <v>2631</v>
      </c>
      <c r="C2637" s="2" t="str">
        <f ca="1">IFERROR(__xludf.DUMMYFUNCTION("GOOGLETRANSLATE(B2637, ""bn"", ""en"")"),"Truth, non-violence, patience — these three qualities make any religious man great.")</f>
        <v>Truth, non-violence, patience — these three qualities make any religious man great.</v>
      </c>
      <c r="D2637" s="5"/>
      <c r="E2637" s="5"/>
      <c r="F2637" s="5"/>
      <c r="G2637" s="5"/>
      <c r="H2637" s="5"/>
      <c r="I2637" s="5"/>
      <c r="J2637" s="5"/>
      <c r="K2637" s="5"/>
      <c r="L2637" s="5"/>
      <c r="M2637" s="5"/>
      <c r="N2637" s="5"/>
      <c r="O2637" s="5"/>
      <c r="P2637" s="5"/>
      <c r="Q2637" s="5"/>
      <c r="R2637" s="5"/>
      <c r="S2637" s="5"/>
      <c r="T2637" s="5"/>
      <c r="U2637" s="5"/>
      <c r="V2637" s="5"/>
      <c r="W2637" s="5"/>
      <c r="X2637" s="5"/>
      <c r="Y2637" s="5"/>
      <c r="Z2637" s="5"/>
    </row>
    <row r="2638" spans="1:26" ht="15.6" x14ac:dyDescent="0.3">
      <c r="A2638" s="19" t="s">
        <v>3</v>
      </c>
      <c r="B2638" s="26" t="s">
        <v>2632</v>
      </c>
      <c r="C2638" s="2" t="str">
        <f ca="1">IFERROR(__xludf.DUMMYFUNCTION("GOOGLETRANSLATE(B2638, ""bn"", ""en"")"),"There was misperception and mistrust of Muslims that day, although many Buddhist brothers said everyone was together and there was no division.")</f>
        <v>There was misperception and mistrust of Muslims that day, although many Buddhist brothers said everyone was together and there was no division.</v>
      </c>
      <c r="D2638" s="7"/>
      <c r="E2638" s="7"/>
      <c r="F2638" s="7"/>
      <c r="G2638" s="7"/>
      <c r="H2638" s="7"/>
      <c r="I2638" s="5"/>
      <c r="J2638" s="5"/>
      <c r="K2638" s="5"/>
      <c r="L2638" s="5"/>
      <c r="M2638" s="5"/>
      <c r="N2638" s="5"/>
      <c r="O2638" s="5"/>
      <c r="P2638" s="5"/>
      <c r="Q2638" s="5"/>
      <c r="R2638" s="5"/>
      <c r="S2638" s="5"/>
      <c r="T2638" s="5"/>
      <c r="U2638" s="5"/>
      <c r="V2638" s="5"/>
      <c r="W2638" s="5"/>
      <c r="X2638" s="5"/>
      <c r="Y2638" s="5"/>
      <c r="Z2638" s="5"/>
    </row>
    <row r="2639" spans="1:26" ht="15.6" x14ac:dyDescent="0.3">
      <c r="A2639" s="18" t="s">
        <v>5</v>
      </c>
      <c r="B2639" s="25" t="s">
        <v>2633</v>
      </c>
      <c r="C2639" s="2" t="str">
        <f ca="1">IFERROR(__xludf.DUMMYFUNCTION("GOOGLETRANSLATE(B2639, ""bn"", ""en"")"),"On the other hand, there is Dhaka University, the highest academic institution of Bangladesh, where the terrorists attacked the Muslims during Tarawih prayers in 2022 TSC.")</f>
        <v>On the other hand, there is Dhaka University, the highest academic institution of Bangladesh, where the terrorists attacked the Muslims during Tarawih prayers in 2022 TSC.</v>
      </c>
      <c r="D2639" s="2"/>
      <c r="E2639" s="2"/>
      <c r="F2639" s="2"/>
      <c r="G2639" s="2"/>
      <c r="H2639" s="3"/>
      <c r="I2639" s="3"/>
      <c r="J2639" s="3"/>
      <c r="K2639" s="3"/>
      <c r="L2639" s="3"/>
      <c r="M2639" s="3"/>
      <c r="N2639" s="3"/>
      <c r="O2639" s="3"/>
      <c r="P2639" s="3"/>
      <c r="Q2639" s="3"/>
      <c r="R2639" s="3"/>
      <c r="S2639" s="3"/>
      <c r="T2639" s="3"/>
      <c r="U2639" s="3"/>
      <c r="V2639" s="3"/>
      <c r="W2639" s="3"/>
      <c r="X2639" s="3"/>
      <c r="Y2639" s="3"/>
      <c r="Z2639" s="3"/>
    </row>
    <row r="2640" spans="1:26" ht="15.6" x14ac:dyDescent="0.3">
      <c r="A2640" s="18" t="s">
        <v>8</v>
      </c>
      <c r="B2640" s="25" t="s">
        <v>2634</v>
      </c>
      <c r="C2640" s="2" t="str">
        <f ca="1">IFERROR(__xludf.DUMMYFUNCTION("GOOGLETRANSLATE(B2640, ""bn"", ""en"")"),"This morning local people found the idols in broken condition and informed the administration and police. He claimed that such incidents were done to destroy the communal harmony of the country.")</f>
        <v>This morning local people found the idols in broken condition and informed the administration and police. He claimed that such incidents were done to destroy the communal harmony of the country.</v>
      </c>
      <c r="D2640" s="2"/>
      <c r="E2640" s="2"/>
      <c r="F2640" s="2"/>
      <c r="G2640" s="2"/>
      <c r="H2640" s="5"/>
      <c r="I2640" s="5"/>
      <c r="J2640" s="5"/>
      <c r="K2640" s="5"/>
      <c r="L2640" s="5"/>
      <c r="M2640" s="5"/>
      <c r="N2640" s="5"/>
      <c r="O2640" s="5"/>
      <c r="P2640" s="5"/>
      <c r="Q2640" s="5"/>
      <c r="R2640" s="5"/>
      <c r="S2640" s="5"/>
      <c r="T2640" s="5"/>
      <c r="U2640" s="5"/>
      <c r="V2640" s="5"/>
      <c r="W2640" s="5"/>
      <c r="X2640" s="5"/>
      <c r="Y2640" s="5"/>
      <c r="Z2640" s="5"/>
    </row>
    <row r="2641" spans="1:26" ht="15.6" x14ac:dyDescent="0.3">
      <c r="A2641" s="18" t="s">
        <v>3</v>
      </c>
      <c r="B2641" s="25" t="s">
        <v>2635</v>
      </c>
      <c r="C2641" s="2" t="str">
        <f ca="1">IFERROR(__xludf.DUMMYFUNCTION("GOOGLETRANSLATE(B2641, ""bn"", ""en"")"),"After the burial, two angels named Munkar and Naqir interrogate the dead to test their faith.")</f>
        <v>After the burial, two angels named Munkar and Naqir interrogate the dead to test their faith.</v>
      </c>
      <c r="D2641" s="2"/>
      <c r="E2641" s="2"/>
      <c r="F2641" s="2"/>
      <c r="G2641" s="2"/>
      <c r="H2641" s="3"/>
      <c r="I2641" s="3"/>
      <c r="J2641" s="3"/>
      <c r="K2641" s="3"/>
      <c r="L2641" s="3"/>
      <c r="M2641" s="3"/>
      <c r="N2641" s="3"/>
      <c r="O2641" s="3"/>
      <c r="P2641" s="3"/>
      <c r="Q2641" s="3"/>
      <c r="R2641" s="3"/>
      <c r="S2641" s="3"/>
      <c r="T2641" s="3"/>
      <c r="U2641" s="3"/>
      <c r="V2641" s="3"/>
      <c r="W2641" s="3"/>
      <c r="X2641" s="3"/>
      <c r="Y2641" s="3"/>
      <c r="Z2641" s="3"/>
    </row>
    <row r="2642" spans="1:26" ht="15.6" x14ac:dyDescent="0.3">
      <c r="A2642" s="18" t="s">
        <v>8</v>
      </c>
      <c r="B2642" s="24" t="s">
        <v>2636</v>
      </c>
      <c r="C2642" s="2" t="str">
        <f ca="1">IFERROR(__xludf.DUMMYFUNCTION("GOOGLETRANSLATE(B2642, ""bn"", ""en"")"),"The administration is looking for some unidentified people for allegedly destroying worship materials in a Hindu school in Shariatpur.")</f>
        <v>The administration is looking for some unidentified people for allegedly destroying worship materials in a Hindu school in Shariatpur.</v>
      </c>
      <c r="D2642" s="5"/>
      <c r="E2642" s="5"/>
      <c r="F2642" s="5"/>
      <c r="G2642" s="5"/>
      <c r="H2642" s="5"/>
      <c r="I2642" s="5"/>
      <c r="J2642" s="5"/>
      <c r="K2642" s="5"/>
      <c r="L2642" s="5"/>
      <c r="M2642" s="5"/>
      <c r="N2642" s="5"/>
      <c r="O2642" s="5"/>
      <c r="P2642" s="5"/>
      <c r="Q2642" s="5"/>
      <c r="R2642" s="5"/>
      <c r="S2642" s="5"/>
      <c r="T2642" s="5"/>
      <c r="U2642" s="5"/>
      <c r="V2642" s="5"/>
      <c r="W2642" s="5"/>
      <c r="X2642" s="5"/>
      <c r="Y2642" s="5"/>
      <c r="Z2642" s="5"/>
    </row>
    <row r="2643" spans="1:26" ht="15.6" x14ac:dyDescent="0.3">
      <c r="A2643" s="18" t="s">
        <v>8</v>
      </c>
      <c r="B2643" s="25" t="s">
        <v>2637</v>
      </c>
      <c r="C2643" s="2" t="str">
        <f ca="1">IFERROR(__xludf.DUMMYFUNCTION("GOOGLETRANSLATE(B2643, ""bn"", ""en"")"),"The infidels carried on religious persecution by plundering the cattle of the Muslims, but they were pursued by the soldiers of Allah, against whom the opposition of Islam was the only object. Even today their descendants are active in Bangladesh.")</f>
        <v>The infidels carried on religious persecution by plundering the cattle of the Muslims, but they were pursued by the soldiers of Allah, against whom the opposition of Islam was the only object. Even today their descendants are active in Bangladesh.</v>
      </c>
      <c r="D2643" s="5"/>
      <c r="E2643" s="5"/>
      <c r="F2643" s="5"/>
      <c r="G2643" s="5"/>
      <c r="H2643" s="5"/>
      <c r="I2643" s="5"/>
      <c r="J2643" s="5"/>
      <c r="K2643" s="5"/>
      <c r="L2643" s="5"/>
      <c r="M2643" s="5"/>
      <c r="N2643" s="5"/>
      <c r="O2643" s="5"/>
      <c r="P2643" s="5"/>
      <c r="Q2643" s="5"/>
      <c r="R2643" s="5"/>
      <c r="S2643" s="5"/>
      <c r="T2643" s="5"/>
      <c r="U2643" s="5"/>
      <c r="V2643" s="5"/>
      <c r="W2643" s="5"/>
      <c r="X2643" s="5"/>
      <c r="Y2643" s="5"/>
      <c r="Z2643" s="5"/>
    </row>
    <row r="2644" spans="1:26" ht="15.6" x14ac:dyDescent="0.3">
      <c r="A2644" s="18" t="s">
        <v>5</v>
      </c>
      <c r="B2644" s="25" t="s">
        <v>2638</v>
      </c>
      <c r="C2644" s="2" t="str">
        <f ca="1">IFERROR(__xludf.DUMMYFUNCTION("GOOGLETRANSLATE(B2644, ""bn"", ""en"")"),"Many people have died needlessly due to violence caused by differences in multiple religious ideologies.")</f>
        <v>Many people have died needlessly due to violence caused by differences in multiple religious ideologies.</v>
      </c>
      <c r="D2644" s="5"/>
      <c r="E2644" s="5"/>
      <c r="F2644" s="5"/>
      <c r="G2644" s="5"/>
      <c r="H2644" s="5"/>
      <c r="I2644" s="5"/>
      <c r="J2644" s="5"/>
      <c r="K2644" s="5"/>
      <c r="L2644" s="5"/>
      <c r="M2644" s="5"/>
      <c r="N2644" s="5"/>
      <c r="O2644" s="5"/>
      <c r="P2644" s="5"/>
      <c r="Q2644" s="5"/>
      <c r="R2644" s="5"/>
      <c r="S2644" s="5"/>
      <c r="T2644" s="5"/>
      <c r="U2644" s="5"/>
      <c r="V2644" s="5"/>
      <c r="W2644" s="5"/>
      <c r="X2644" s="5"/>
      <c r="Y2644" s="5"/>
      <c r="Z2644" s="5"/>
    </row>
    <row r="2645" spans="1:26" ht="15.6" x14ac:dyDescent="0.3">
      <c r="A2645" s="19" t="s">
        <v>23</v>
      </c>
      <c r="B2645" s="26" t="s">
        <v>2639</v>
      </c>
      <c r="C2645" s="2" t="str">
        <f ca="1">IFERROR(__xludf.DUMMYFUNCTION("GOOGLETRANSLATE(B2645, ""bn"", ""en"")"),"May Allah give knowledge to those who make disparaging remarks about the holy night of Shaba-e-Barat.")</f>
        <v>May Allah give knowledge to those who make disparaging remarks about the holy night of Shaba-e-Barat.</v>
      </c>
      <c r="D2645" s="7"/>
      <c r="E2645" s="7"/>
      <c r="F2645" s="5"/>
      <c r="G2645" s="5"/>
      <c r="H2645" s="5"/>
      <c r="I2645" s="5"/>
      <c r="J2645" s="5"/>
      <c r="K2645" s="5"/>
      <c r="L2645" s="5"/>
      <c r="M2645" s="5"/>
      <c r="N2645" s="5"/>
      <c r="O2645" s="5"/>
      <c r="P2645" s="5"/>
      <c r="Q2645" s="5"/>
      <c r="R2645" s="5"/>
      <c r="S2645" s="5"/>
      <c r="T2645" s="5"/>
      <c r="U2645" s="5"/>
      <c r="V2645" s="5"/>
      <c r="W2645" s="5"/>
      <c r="X2645" s="5"/>
      <c r="Y2645" s="5"/>
      <c r="Z2645" s="5"/>
    </row>
    <row r="2646" spans="1:26" ht="15.6" x14ac:dyDescent="0.3">
      <c r="A2646" s="18" t="s">
        <v>5</v>
      </c>
      <c r="B2646" s="24" t="s">
        <v>2640</v>
      </c>
      <c r="C2646" s="2" t="str">
        <f ca="1">IFERROR(__xludf.DUMMYFUNCTION("GOOGLETRANSLATE(B2646, ""bn"", ""en"")"),"In October 2021, a religious group carried out a suicide bombing at a mosque; 40 people were killed.")</f>
        <v>In October 2021, a religious group carried out a suicide bombing at a mosque; 40 people were killed.</v>
      </c>
      <c r="D2646" s="5"/>
      <c r="E2646" s="5"/>
      <c r="F2646" s="5"/>
      <c r="G2646" s="5"/>
      <c r="H2646" s="5"/>
      <c r="I2646" s="5"/>
      <c r="J2646" s="5"/>
      <c r="K2646" s="5"/>
      <c r="L2646" s="5"/>
      <c r="M2646" s="5"/>
      <c r="N2646" s="5"/>
      <c r="O2646" s="5"/>
      <c r="P2646" s="5"/>
      <c r="Q2646" s="5"/>
      <c r="R2646" s="5"/>
      <c r="S2646" s="5"/>
      <c r="T2646" s="5"/>
      <c r="U2646" s="5"/>
      <c r="V2646" s="5"/>
      <c r="W2646" s="5"/>
      <c r="X2646" s="5"/>
      <c r="Y2646" s="5"/>
      <c r="Z2646" s="5"/>
    </row>
    <row r="2647" spans="1:26" ht="15.6" x14ac:dyDescent="0.3">
      <c r="A2647" s="18" t="s">
        <v>3</v>
      </c>
      <c r="B2647" s="25" t="s">
        <v>2641</v>
      </c>
      <c r="C2647" s="2" t="str">
        <f ca="1">IFERROR(__xludf.DUMMYFUNCTION("GOOGLETRANSLATE(B2647, ""bn"", ""en"")"),"Religious education is compulsory and part of the curriculum in all government schools. Students attend classrooms where their own religious beliefs are taught.")</f>
        <v>Religious education is compulsory and part of the curriculum in all government schools. Students attend classrooms where their own religious beliefs are taught.</v>
      </c>
      <c r="D2647" s="2"/>
      <c r="E2647" s="2"/>
      <c r="F2647" s="2"/>
      <c r="G2647" s="2"/>
      <c r="H2647" s="5"/>
      <c r="I2647" s="5"/>
      <c r="J2647" s="5"/>
      <c r="K2647" s="5"/>
      <c r="L2647" s="5"/>
      <c r="M2647" s="5"/>
      <c r="N2647" s="5"/>
      <c r="O2647" s="5"/>
      <c r="P2647" s="5"/>
      <c r="Q2647" s="5"/>
      <c r="R2647" s="5"/>
      <c r="S2647" s="5"/>
      <c r="T2647" s="5"/>
      <c r="U2647" s="5"/>
      <c r="V2647" s="5"/>
      <c r="W2647" s="5"/>
      <c r="X2647" s="5"/>
      <c r="Y2647" s="5"/>
      <c r="Z2647" s="5"/>
    </row>
    <row r="2648" spans="1:26" ht="15.6" x14ac:dyDescent="0.3">
      <c r="A2648" s="19" t="s">
        <v>8</v>
      </c>
      <c r="B2648" s="26" t="s">
        <v>2642</v>
      </c>
      <c r="C2648" s="2" t="str">
        <f ca="1">IFERROR(__xludf.DUMMYFUNCTION("GOOGLETRANSLATE(B2648, ""bn"", ""en"")"),"A youth group publicly harassed a Buddhist monk in Rajshahi for 'anti-religious' activities.")</f>
        <v>A youth group publicly harassed a Buddhist monk in Rajshahi for 'anti-religious' activities.</v>
      </c>
      <c r="D2648" s="5"/>
      <c r="E2648" s="5"/>
      <c r="F2648" s="5"/>
      <c r="G2648" s="5"/>
      <c r="H2648" s="5"/>
      <c r="I2648" s="5"/>
      <c r="J2648" s="5"/>
      <c r="K2648" s="5"/>
      <c r="L2648" s="5"/>
      <c r="M2648" s="5"/>
      <c r="N2648" s="5"/>
      <c r="O2648" s="5"/>
      <c r="P2648" s="5"/>
      <c r="Q2648" s="5"/>
      <c r="R2648" s="5"/>
      <c r="S2648" s="5"/>
      <c r="T2648" s="5"/>
      <c r="U2648" s="5"/>
      <c r="V2648" s="5"/>
      <c r="W2648" s="5"/>
      <c r="X2648" s="5"/>
      <c r="Y2648" s="5"/>
      <c r="Z2648" s="5"/>
    </row>
    <row r="2649" spans="1:26" ht="15.6" x14ac:dyDescent="0.3">
      <c r="A2649" s="19" t="s">
        <v>8</v>
      </c>
      <c r="B2649" s="26" t="s">
        <v>2643</v>
      </c>
      <c r="C2649" s="2" t="str">
        <f ca="1">IFERROR(__xludf.DUMMYFUNCTION("GOOGLETRANSLATE(B2649, ""bn"", ""en"")"),"While fleeing, the assailants vandalized several residences and places of worship of the Hindu community. Police and RAB conducted raids and arrested nine people.")</f>
        <v>While fleeing, the assailants vandalized several residences and places of worship of the Hindu community. Police and RAB conducted raids and arrested nine people.</v>
      </c>
      <c r="D2649" s="7"/>
      <c r="E2649" s="7"/>
      <c r="F2649" s="7"/>
      <c r="G2649" s="7"/>
      <c r="H2649" s="7"/>
      <c r="I2649" s="7"/>
      <c r="J2649" s="7"/>
      <c r="K2649" s="7"/>
      <c r="L2649" s="5"/>
      <c r="M2649" s="5"/>
      <c r="N2649" s="5"/>
      <c r="O2649" s="5"/>
      <c r="P2649" s="5"/>
      <c r="Q2649" s="5"/>
      <c r="R2649" s="5"/>
      <c r="S2649" s="5"/>
      <c r="T2649" s="5"/>
      <c r="U2649" s="5"/>
      <c r="V2649" s="5"/>
      <c r="W2649" s="5"/>
      <c r="X2649" s="5"/>
      <c r="Y2649" s="5"/>
      <c r="Z2649" s="5"/>
    </row>
    <row r="2650" spans="1:26" ht="15.6" x14ac:dyDescent="0.3">
      <c r="A2650" s="18" t="s">
        <v>3</v>
      </c>
      <c r="B2650" s="25" t="s">
        <v>2644</v>
      </c>
      <c r="C2650" s="2" t="str">
        <f ca="1">IFERROR(__xludf.DUMMYFUNCTION("GOOGLETRANSLATE(B2650, ""bn"", ""en"")"),"Allah says in the Qur'an that through faith and good deeds, man can guide his life on the right path, which will make him successful in the Hereafter.")</f>
        <v>Allah says in the Qur'an that through faith and good deeds, man can guide his life on the right path, which will make him successful in the Hereafter.</v>
      </c>
      <c r="D2650" s="5"/>
      <c r="E2650" s="5"/>
      <c r="F2650" s="5"/>
      <c r="G2650" s="5"/>
      <c r="H2650" s="5"/>
      <c r="I2650" s="5"/>
      <c r="J2650" s="5"/>
      <c r="K2650" s="5"/>
      <c r="L2650" s="5"/>
      <c r="M2650" s="5"/>
      <c r="N2650" s="5"/>
      <c r="O2650" s="5"/>
      <c r="P2650" s="5"/>
      <c r="Q2650" s="5"/>
      <c r="R2650" s="5"/>
      <c r="S2650" s="5"/>
      <c r="T2650" s="5"/>
      <c r="U2650" s="5"/>
      <c r="V2650" s="5"/>
      <c r="W2650" s="5"/>
      <c r="X2650" s="5"/>
      <c r="Y2650" s="5"/>
      <c r="Z2650" s="5"/>
    </row>
    <row r="2651" spans="1:26" ht="15.6" x14ac:dyDescent="0.3">
      <c r="A2651" s="19" t="s">
        <v>5</v>
      </c>
      <c r="B2651" s="26" t="s">
        <v>2645</v>
      </c>
      <c r="C2651" s="2" t="str">
        <f ca="1">IFERROR(__xludf.DUMMYFUNCTION("GOOGLETRANSLATE(B2651, ""bn"", ""en"")"),"The main victims of the riots were the city's Muslim community; About 100 were killed, hundreds were injured, 2,500 houses were destroyed and 12,000 were left homeless.")</f>
        <v>The main victims of the riots were the city's Muslim community; About 100 were killed, hundreds were injured, 2,500 houses were destroyed and 12,000 were left homeless.</v>
      </c>
      <c r="D2651" s="7"/>
      <c r="E2651" s="7"/>
      <c r="F2651" s="7"/>
      <c r="G2651" s="7"/>
      <c r="H2651" s="7"/>
      <c r="I2651" s="5"/>
      <c r="J2651" s="5"/>
      <c r="K2651" s="5"/>
      <c r="L2651" s="5"/>
      <c r="M2651" s="5"/>
      <c r="N2651" s="5"/>
      <c r="O2651" s="5"/>
      <c r="P2651" s="5"/>
      <c r="Q2651" s="5"/>
      <c r="R2651" s="5"/>
      <c r="S2651" s="5"/>
      <c r="T2651" s="5"/>
      <c r="U2651" s="5"/>
      <c r="V2651" s="5"/>
      <c r="W2651" s="5"/>
      <c r="X2651" s="5"/>
      <c r="Y2651" s="5"/>
      <c r="Z2651" s="5"/>
    </row>
    <row r="2652" spans="1:26" ht="15.6" x14ac:dyDescent="0.3">
      <c r="A2652" s="18" t="s">
        <v>5</v>
      </c>
      <c r="B2652" s="24" t="s">
        <v>2646</v>
      </c>
      <c r="C2652" s="2" t="str">
        <f ca="1">IFERROR(__xludf.DUMMYFUNCTION("GOOGLETRANSLATE(B2652, ""bn"", ""en"")"),"At least 35 people were killed in Hindu-Muslim clashes in Kurigram and security forces failed to control the situation.")</f>
        <v>At least 35 people were killed in Hindu-Muslim clashes in Kurigram and security forces failed to control the situation.</v>
      </c>
      <c r="D2652" s="5"/>
      <c r="E2652" s="5"/>
      <c r="F2652" s="5"/>
      <c r="G2652" s="5"/>
      <c r="H2652" s="5"/>
      <c r="I2652" s="5"/>
      <c r="J2652" s="5"/>
      <c r="K2652" s="5"/>
      <c r="L2652" s="5"/>
      <c r="M2652" s="5"/>
      <c r="N2652" s="5"/>
      <c r="O2652" s="5"/>
      <c r="P2652" s="5"/>
      <c r="Q2652" s="5"/>
      <c r="R2652" s="5"/>
      <c r="S2652" s="5"/>
      <c r="T2652" s="5"/>
      <c r="U2652" s="5"/>
      <c r="V2652" s="5"/>
      <c r="W2652" s="5"/>
      <c r="X2652" s="5"/>
      <c r="Y2652" s="5"/>
      <c r="Z2652" s="5"/>
    </row>
    <row r="2653" spans="1:26" ht="15.6" x14ac:dyDescent="0.3">
      <c r="A2653" s="18" t="s">
        <v>23</v>
      </c>
      <c r="B2653" s="24" t="s">
        <v>2647</v>
      </c>
      <c r="C2653" s="2" t="str">
        <f ca="1">IFERROR(__xludf.DUMMYFUNCTION("GOOGLETRANSLATE(B2653, ""bn"", ""en"")"),"Buddhists can no longer bear to listen to the bully of peace, everyone has a terrorist attitude inside.")</f>
        <v>Buddhists can no longer bear to listen to the bully of peace, everyone has a terrorist attitude inside.</v>
      </c>
      <c r="D2653" s="5"/>
      <c r="E2653" s="5"/>
      <c r="F2653" s="5"/>
      <c r="G2653" s="5"/>
      <c r="H2653" s="5"/>
      <c r="I2653" s="5"/>
      <c r="J2653" s="5"/>
      <c r="K2653" s="5"/>
      <c r="L2653" s="5"/>
      <c r="M2653" s="5"/>
      <c r="N2653" s="5"/>
      <c r="O2653" s="5"/>
      <c r="P2653" s="5"/>
      <c r="Q2653" s="5"/>
      <c r="R2653" s="5"/>
      <c r="S2653" s="5"/>
      <c r="T2653" s="5"/>
      <c r="U2653" s="5"/>
      <c r="V2653" s="5"/>
      <c r="W2653" s="5"/>
      <c r="X2653" s="5"/>
      <c r="Y2653" s="5"/>
      <c r="Z2653" s="5"/>
    </row>
    <row r="2654" spans="1:26" ht="15.6" x14ac:dyDescent="0.3">
      <c r="A2654" s="19" t="s">
        <v>8</v>
      </c>
      <c r="B2654" s="26" t="s">
        <v>2648</v>
      </c>
      <c r="C2654" s="2" t="str">
        <f ca="1">IFERROR(__xludf.DUMMYFUNCTION("GOOGLETRANSLATE(B2654, ""bn"", ""en"")"),"Miscreants attacked, looted and set fire to 12 Buddhist monasteries in Ramu, Cox's Bazar at midnight on September 29, 2012.")</f>
        <v>Miscreants attacked, looted and set fire to 12 Buddhist monasteries in Ramu, Cox's Bazar at midnight on September 29, 2012.</v>
      </c>
      <c r="D2654" s="5"/>
      <c r="E2654" s="5"/>
      <c r="F2654" s="5"/>
      <c r="G2654" s="5"/>
      <c r="H2654" s="5"/>
      <c r="I2654" s="5"/>
      <c r="J2654" s="5"/>
      <c r="K2654" s="5"/>
      <c r="L2654" s="5"/>
      <c r="M2654" s="5"/>
      <c r="N2654" s="5"/>
      <c r="O2654" s="5"/>
      <c r="P2654" s="5"/>
      <c r="Q2654" s="5"/>
      <c r="R2654" s="5"/>
      <c r="S2654" s="5"/>
      <c r="T2654" s="5"/>
      <c r="U2654" s="5"/>
      <c r="V2654" s="5"/>
      <c r="W2654" s="5"/>
      <c r="X2654" s="5"/>
      <c r="Y2654" s="5"/>
      <c r="Z2654" s="5"/>
    </row>
    <row r="2655" spans="1:26" ht="15.6" x14ac:dyDescent="0.3">
      <c r="A2655" s="19" t="s">
        <v>3</v>
      </c>
      <c r="B2655" s="26" t="s">
        <v>2649</v>
      </c>
      <c r="C2655" s="2" t="str">
        <f ca="1">IFERROR(__xludf.DUMMYFUNCTION("GOOGLETRANSLATE(B2655, ""bn"", ""en"")"),"In the Hereafter, the Prophet's love is maintained through worship and duty to parents, which ensures abode in Paradise.")</f>
        <v>In the Hereafter, the Prophet's love is maintained through worship and duty to parents, which ensures abode in Paradise.</v>
      </c>
      <c r="D2655" s="7"/>
      <c r="E2655" s="7"/>
      <c r="F2655" s="7"/>
      <c r="G2655" s="7"/>
      <c r="H2655" s="7"/>
      <c r="I2655" s="5"/>
      <c r="J2655" s="5"/>
      <c r="K2655" s="5"/>
      <c r="L2655" s="5"/>
      <c r="M2655" s="5"/>
      <c r="N2655" s="5"/>
      <c r="O2655" s="5"/>
      <c r="P2655" s="5"/>
      <c r="Q2655" s="5"/>
      <c r="R2655" s="5"/>
      <c r="S2655" s="5"/>
      <c r="T2655" s="5"/>
      <c r="U2655" s="5"/>
      <c r="V2655" s="5"/>
      <c r="W2655" s="5"/>
      <c r="X2655" s="5"/>
      <c r="Y2655" s="5"/>
      <c r="Z2655" s="5"/>
    </row>
    <row r="2656" spans="1:26" ht="15.6" x14ac:dyDescent="0.3">
      <c r="A2656" s="19" t="s">
        <v>3</v>
      </c>
      <c r="B2656" s="26" t="s">
        <v>2650</v>
      </c>
      <c r="C2656" s="2" t="str">
        <f ca="1">IFERROR(__xludf.DUMMYFUNCTION("GOOGLETRANSLATE(B2656, ""bn"", ""en"")"),"In this month of Ramadan, almost all students are organizing Iftar Mahfil in their own way. No one is stopping it.")</f>
        <v>In this month of Ramadan, almost all students are organizing Iftar Mahfil in their own way. No one is stopping it.</v>
      </c>
      <c r="D2656" s="5"/>
      <c r="E2656" s="5"/>
      <c r="F2656" s="5"/>
      <c r="G2656" s="5"/>
      <c r="H2656" s="5"/>
      <c r="I2656" s="5"/>
      <c r="J2656" s="5"/>
      <c r="K2656" s="5"/>
      <c r="L2656" s="5"/>
      <c r="M2656" s="5"/>
      <c r="N2656" s="5"/>
      <c r="O2656" s="5"/>
      <c r="P2656" s="5"/>
      <c r="Q2656" s="5"/>
      <c r="R2656" s="5"/>
      <c r="S2656" s="5"/>
      <c r="T2656" s="5"/>
      <c r="U2656" s="5"/>
      <c r="V2656" s="5"/>
      <c r="W2656" s="5"/>
      <c r="X2656" s="5"/>
      <c r="Y2656" s="5"/>
      <c r="Z2656" s="5"/>
    </row>
    <row r="2657" spans="1:26" ht="15.6" x14ac:dyDescent="0.3">
      <c r="A2657" s="18" t="s">
        <v>23</v>
      </c>
      <c r="B2657" s="25" t="s">
        <v>2651</v>
      </c>
      <c r="C2657" s="2" t="str">
        <f ca="1">IFERROR(__xludf.DUMMYFUNCTION("GOOGLETRANSLATE(B2657, ""bn"", ""en"")"),"Hindus don't have time to understand, they just think Muslims are killing them because they are Hindus. While Hindus protested on Facebook, some Muslims cited hadiths saying Islam is a religion of peace. Yet those who speak out are declared insulters of I"&amp;"slam. Maybe you will understand if the number decreases; Until then this situation will continue.")</f>
        <v>Hindus don't have time to understand, they just think Muslims are killing them because they are Hindus. While Hindus protested on Facebook, some Muslims cited hadiths saying Islam is a religion of peace. Yet those who speak out are declared insulters of Islam. Maybe you will understand if the number decreases; Until then this situation will continue.</v>
      </c>
      <c r="D2657" s="2"/>
      <c r="E2657" s="2"/>
      <c r="F2657" s="2"/>
      <c r="G2657" s="2"/>
      <c r="H2657" s="3"/>
      <c r="I2657" s="3"/>
      <c r="J2657" s="3"/>
      <c r="K2657" s="3"/>
      <c r="L2657" s="3"/>
      <c r="M2657" s="3"/>
      <c r="N2657" s="3"/>
      <c r="O2657" s="3"/>
      <c r="P2657" s="3"/>
      <c r="Q2657" s="3"/>
      <c r="R2657" s="3"/>
      <c r="S2657" s="3"/>
      <c r="T2657" s="3"/>
      <c r="U2657" s="3"/>
      <c r="V2657" s="3"/>
      <c r="W2657" s="3"/>
      <c r="X2657" s="3"/>
      <c r="Y2657" s="3"/>
      <c r="Z2657" s="3"/>
    </row>
    <row r="2658" spans="1:26" ht="15.6" x14ac:dyDescent="0.3">
      <c r="A2658" s="18" t="s">
        <v>5</v>
      </c>
      <c r="B2658" s="24" t="s">
        <v>2652</v>
      </c>
      <c r="C2658" s="2" t="str">
        <f ca="1">IFERROR(__xludf.DUMMYFUNCTION("GOOGLETRANSLATE(B2658, ""bn"", ""en"")"),"48 people lost their lives in clashes due to religious hatred in Gazipur. As the police tried to control the situation, the government ordered everyone to remain calm and behave responsibly. Many minority families leave the village for safety.")</f>
        <v>48 people lost their lives in clashes due to religious hatred in Gazipur. As the police tried to control the situation, the government ordered everyone to remain calm and behave responsibly. Many minority families leave the village for safety.</v>
      </c>
      <c r="D2658" s="5"/>
      <c r="E2658" s="5"/>
      <c r="F2658" s="5"/>
      <c r="G2658" s="5"/>
      <c r="H2658" s="5"/>
      <c r="I2658" s="5"/>
      <c r="J2658" s="5"/>
      <c r="K2658" s="5"/>
      <c r="L2658" s="5"/>
      <c r="M2658" s="5"/>
      <c r="N2658" s="5"/>
      <c r="O2658" s="5"/>
      <c r="P2658" s="5"/>
      <c r="Q2658" s="5"/>
      <c r="R2658" s="5"/>
      <c r="S2658" s="5"/>
      <c r="T2658" s="5"/>
      <c r="U2658" s="5"/>
      <c r="V2658" s="5"/>
      <c r="W2658" s="5"/>
      <c r="X2658" s="5"/>
      <c r="Y2658" s="5"/>
      <c r="Z2658" s="5"/>
    </row>
    <row r="2659" spans="1:26" ht="15.6" x14ac:dyDescent="0.3">
      <c r="A2659" s="18" t="s">
        <v>3</v>
      </c>
      <c r="B2659" s="25" t="s">
        <v>2653</v>
      </c>
      <c r="C2659" s="2" t="str">
        <f ca="1">IFERROR(__xludf.DUMMYFUNCTION("GOOGLETRANSLATE(B2659, ""bn"", ""en"")"),"Lailatul Qadr is a night better than a thousand months. Some know this night as Shabba Kadar. Any act of this night is better than the act of a thousand months.")</f>
        <v>Lailatul Qadr is a night better than a thousand months. Some know this night as Shabba Kadar. Any act of this night is better than the act of a thousand months.</v>
      </c>
      <c r="D2659" s="5"/>
      <c r="E2659" s="5"/>
      <c r="F2659" s="5"/>
      <c r="G2659" s="5"/>
      <c r="H2659" s="5"/>
      <c r="I2659" s="5"/>
      <c r="J2659" s="5"/>
      <c r="K2659" s="5"/>
      <c r="L2659" s="5"/>
      <c r="M2659" s="5"/>
      <c r="N2659" s="5"/>
      <c r="O2659" s="5"/>
      <c r="P2659" s="5"/>
      <c r="Q2659" s="5"/>
      <c r="R2659" s="5"/>
      <c r="S2659" s="5"/>
      <c r="T2659" s="5"/>
      <c r="U2659" s="5"/>
      <c r="V2659" s="5"/>
      <c r="W2659" s="5"/>
      <c r="X2659" s="5"/>
      <c r="Y2659" s="5"/>
      <c r="Z2659" s="5"/>
    </row>
    <row r="2660" spans="1:26" ht="15.6" x14ac:dyDescent="0.3">
      <c r="A2660" s="18" t="s">
        <v>3</v>
      </c>
      <c r="B2660" s="25" t="s">
        <v>2654</v>
      </c>
      <c r="C2660" s="2" t="str">
        <f ca="1">IFERROR(__xludf.DUMMYFUNCTION("GOOGLETRANSLATE(B2660, ""bn"", ""en"")"),"Archangel Gabriel brought the black stone from Paradise to be attached to the Kaaba.")</f>
        <v>Archangel Gabriel brought the black stone from Paradise to be attached to the Kaaba.</v>
      </c>
      <c r="D2660" s="5"/>
      <c r="E2660" s="5"/>
      <c r="F2660" s="5"/>
      <c r="G2660" s="5"/>
      <c r="H2660" s="5"/>
      <c r="I2660" s="5"/>
      <c r="J2660" s="5"/>
      <c r="K2660" s="5"/>
      <c r="L2660" s="5"/>
      <c r="M2660" s="5"/>
      <c r="N2660" s="5"/>
      <c r="O2660" s="5"/>
      <c r="P2660" s="5"/>
      <c r="Q2660" s="5"/>
      <c r="R2660" s="5"/>
      <c r="S2660" s="5"/>
      <c r="T2660" s="5"/>
      <c r="U2660" s="5"/>
      <c r="V2660" s="5"/>
      <c r="W2660" s="5"/>
      <c r="X2660" s="5"/>
      <c r="Y2660" s="5"/>
      <c r="Z2660" s="5"/>
    </row>
    <row r="2661" spans="1:26" ht="15.6" x14ac:dyDescent="0.3">
      <c r="A2661" s="18" t="s">
        <v>5</v>
      </c>
      <c r="B2661" s="24" t="s">
        <v>2655</v>
      </c>
      <c r="C2661" s="2" t="str">
        <f ca="1">IFERROR(__xludf.DUMMYFUNCTION("GOOGLETRANSLATE(B2661, ""bn"", ""en"")"),"12 girls in a village were abducted, gang-raped and burned after religious rumours; A total of 36 people were killed.")</f>
        <v>12 girls in a village were abducted, gang-raped and burned after religious rumours; A total of 36 people were killed.</v>
      </c>
      <c r="D2661" s="5"/>
      <c r="E2661" s="5"/>
      <c r="F2661" s="5"/>
      <c r="G2661" s="5"/>
      <c r="H2661" s="5"/>
      <c r="I2661" s="5"/>
      <c r="J2661" s="5"/>
      <c r="K2661" s="5"/>
      <c r="L2661" s="5"/>
      <c r="M2661" s="5"/>
      <c r="N2661" s="5"/>
      <c r="O2661" s="5"/>
      <c r="P2661" s="5"/>
      <c r="Q2661" s="5"/>
      <c r="R2661" s="5"/>
      <c r="S2661" s="5"/>
      <c r="T2661" s="5"/>
      <c r="U2661" s="5"/>
      <c r="V2661" s="5"/>
      <c r="W2661" s="5"/>
      <c r="X2661" s="5"/>
      <c r="Y2661" s="5"/>
      <c r="Z2661" s="5"/>
    </row>
    <row r="2662" spans="1:26" ht="15.6" x14ac:dyDescent="0.3">
      <c r="A2662" s="19" t="s">
        <v>3</v>
      </c>
      <c r="B2662" s="26" t="s">
        <v>2656</v>
      </c>
      <c r="C2662" s="2" t="str">
        <f ca="1">IFERROR(__xludf.DUMMYFUNCTION("GOOGLETRANSLATE(B2662, ""bn"", ""en"")"),"The enemies of the Muslims were killed in the battle. The victory strengthened Muhammad's leadership and the Muslims emerged as a new power in Arabia.")</f>
        <v>The enemies of the Muslims were killed in the battle. The victory strengthened Muhammad's leadership and the Muslims emerged as a new power in Arabia.</v>
      </c>
      <c r="D2662" s="7"/>
      <c r="E2662" s="7"/>
      <c r="F2662" s="7"/>
      <c r="G2662" s="7"/>
      <c r="H2662" s="7"/>
      <c r="I2662" s="7"/>
      <c r="J2662" s="5"/>
      <c r="K2662" s="5"/>
      <c r="L2662" s="5"/>
      <c r="M2662" s="5"/>
      <c r="N2662" s="5"/>
      <c r="O2662" s="5"/>
      <c r="P2662" s="5"/>
      <c r="Q2662" s="5"/>
      <c r="R2662" s="5"/>
      <c r="S2662" s="5"/>
      <c r="T2662" s="5"/>
      <c r="U2662" s="5"/>
      <c r="V2662" s="5"/>
      <c r="W2662" s="5"/>
      <c r="X2662" s="5"/>
      <c r="Y2662" s="5"/>
      <c r="Z2662" s="5"/>
    </row>
    <row r="2663" spans="1:26" ht="15.6" x14ac:dyDescent="0.3">
      <c r="A2663" s="19" t="s">
        <v>3</v>
      </c>
      <c r="B2663" s="26" t="s">
        <v>2657</v>
      </c>
      <c r="C2663" s="2" t="str">
        <f ca="1">IFERROR(__xludf.DUMMYFUNCTION("GOOGLETRANSLATE(B2663, ""bn"", ""en"")"),"The decision of the University authorities is not applicable here. Everyone will respect their respective festivals.")</f>
        <v>The decision of the University authorities is not applicable here. Everyone will respect their respective festivals.</v>
      </c>
      <c r="D2663" s="7"/>
      <c r="E2663" s="7"/>
      <c r="F2663" s="7"/>
      <c r="G2663" s="7"/>
      <c r="H2663" s="7"/>
      <c r="I2663" s="5"/>
      <c r="J2663" s="5"/>
      <c r="K2663" s="5"/>
      <c r="L2663" s="5"/>
      <c r="M2663" s="5"/>
      <c r="N2663" s="5"/>
      <c r="O2663" s="5"/>
      <c r="P2663" s="5"/>
      <c r="Q2663" s="5"/>
      <c r="R2663" s="5"/>
      <c r="S2663" s="5"/>
      <c r="T2663" s="5"/>
      <c r="U2663" s="5"/>
      <c r="V2663" s="5"/>
      <c r="W2663" s="5"/>
      <c r="X2663" s="5"/>
      <c r="Y2663" s="5"/>
      <c r="Z2663" s="5"/>
    </row>
    <row r="2664" spans="1:26" ht="15.6" x14ac:dyDescent="0.3">
      <c r="A2664" s="18" t="s">
        <v>5</v>
      </c>
      <c r="B2664" s="24" t="s">
        <v>2658</v>
      </c>
      <c r="C2664" s="2" t="str">
        <f ca="1">IFERROR(__xludf.DUMMYFUNCTION("GOOGLETRANSLATE(B2664, ""bn"", ""en"")"),"In June 2019, members of a political party set fire to the houses of minorities on religious grounds; At least 38 people were killed.")</f>
        <v>In June 2019, members of a political party set fire to the houses of minorities on religious grounds; At least 38 people were killed.</v>
      </c>
      <c r="D2664" s="5"/>
      <c r="E2664" s="5"/>
      <c r="F2664" s="5"/>
      <c r="G2664" s="5"/>
      <c r="H2664" s="5"/>
      <c r="I2664" s="5"/>
      <c r="J2664" s="5"/>
      <c r="K2664" s="5"/>
      <c r="L2664" s="5"/>
      <c r="M2664" s="5"/>
      <c r="N2664" s="5"/>
      <c r="O2664" s="5"/>
      <c r="P2664" s="5"/>
      <c r="Q2664" s="5"/>
      <c r="R2664" s="5"/>
      <c r="S2664" s="5"/>
      <c r="T2664" s="5"/>
      <c r="U2664" s="5"/>
      <c r="V2664" s="5"/>
      <c r="W2664" s="5"/>
      <c r="X2664" s="5"/>
      <c r="Y2664" s="5"/>
      <c r="Z2664" s="5"/>
    </row>
    <row r="2665" spans="1:26" ht="15.6" x14ac:dyDescent="0.3">
      <c r="A2665" s="19" t="s">
        <v>23</v>
      </c>
      <c r="B2665" s="26" t="s">
        <v>2659</v>
      </c>
      <c r="C2665" s="2" t="str">
        <f ca="1">IFERROR(__xludf.DUMMYFUNCTION("GOOGLETRANSLATE(B2665, ""bn"", ""en"")"),"Every media is criticizing the Muslim community and scholars as if there is a Hindu-Muslim riot.")</f>
        <v>Every media is criticizing the Muslim community and scholars as if there is a Hindu-Muslim riot.</v>
      </c>
      <c r="D2665" s="7"/>
      <c r="E2665" s="7"/>
      <c r="F2665" s="7"/>
      <c r="G2665" s="7"/>
      <c r="H2665" s="7"/>
      <c r="I2665" s="5"/>
      <c r="J2665" s="5"/>
      <c r="K2665" s="5"/>
      <c r="L2665" s="5"/>
      <c r="M2665" s="5"/>
      <c r="N2665" s="5"/>
      <c r="O2665" s="5"/>
      <c r="P2665" s="5"/>
      <c r="Q2665" s="5"/>
      <c r="R2665" s="5"/>
      <c r="S2665" s="5"/>
      <c r="T2665" s="5"/>
      <c r="U2665" s="5"/>
      <c r="V2665" s="5"/>
      <c r="W2665" s="5"/>
      <c r="X2665" s="5"/>
      <c r="Y2665" s="5"/>
      <c r="Z2665" s="5"/>
    </row>
    <row r="2666" spans="1:26" ht="15.6" x14ac:dyDescent="0.3">
      <c r="A2666" s="19" t="s">
        <v>8</v>
      </c>
      <c r="B2666" s="26" t="s">
        <v>2660</v>
      </c>
      <c r="C2666" s="2" t="str">
        <f ca="1">IFERROR(__xludf.DUMMYFUNCTION("GOOGLETRANSLATE(B2666, ""bn"", ""en"")"),"Hindus bring iron tins and expensive wooden arches from their homes. They tried to close down cinema halls owned by Hindus. Muslims demanded 50% looms where almost all looms were owned by Hindus of the Yogi community.")</f>
        <v>Hindus bring iron tins and expensive wooden arches from their homes. They tried to close down cinema halls owned by Hindus. Muslims demanded 50% looms where almost all looms were owned by Hindus of the Yogi community.</v>
      </c>
      <c r="D2666" s="7"/>
      <c r="E2666" s="5"/>
      <c r="F2666" s="5"/>
      <c r="G2666" s="5"/>
      <c r="H2666" s="5"/>
      <c r="I2666" s="5"/>
      <c r="J2666" s="5"/>
      <c r="K2666" s="5"/>
      <c r="L2666" s="5"/>
      <c r="M2666" s="5"/>
      <c r="N2666" s="5"/>
      <c r="O2666" s="5"/>
      <c r="P2666" s="5"/>
      <c r="Q2666" s="5"/>
      <c r="R2666" s="5"/>
      <c r="S2666" s="5"/>
      <c r="T2666" s="5"/>
      <c r="U2666" s="5"/>
      <c r="V2666" s="5"/>
      <c r="W2666" s="5"/>
      <c r="X2666" s="5"/>
      <c r="Y2666" s="5"/>
      <c r="Z2666" s="5"/>
    </row>
    <row r="2667" spans="1:26" ht="15.6" x14ac:dyDescent="0.3">
      <c r="A2667" s="19" t="s">
        <v>5</v>
      </c>
      <c r="B2667" s="26" t="s">
        <v>2661</v>
      </c>
      <c r="C2667" s="2" t="str">
        <f ca="1">IFERROR(__xludf.DUMMYFUNCTION("GOOGLETRANSLATE(B2667, ""bn"", ""en"")"),"He saw at least six people who were forcibly married by Muslims and one of whom was brutally murdered. During the riots, the zamindar of Noakhali Noori, Yashoda Ranjan Das, was publicly killed.")</f>
        <v>He saw at least six people who were forcibly married by Muslims and one of whom was brutally murdered. During the riots, the zamindar of Noakhali Noori, Yashoda Ranjan Das, was publicly killed.</v>
      </c>
      <c r="D2667" s="5"/>
      <c r="E2667" s="5"/>
      <c r="F2667" s="5"/>
      <c r="G2667" s="5"/>
      <c r="H2667" s="5"/>
      <c r="I2667" s="5"/>
      <c r="J2667" s="5"/>
      <c r="K2667" s="5"/>
      <c r="L2667" s="5"/>
      <c r="M2667" s="5"/>
      <c r="N2667" s="5"/>
      <c r="O2667" s="5"/>
      <c r="P2667" s="5"/>
      <c r="Q2667" s="5"/>
      <c r="R2667" s="5"/>
      <c r="S2667" s="5"/>
      <c r="T2667" s="5"/>
      <c r="U2667" s="5"/>
      <c r="V2667" s="5"/>
      <c r="W2667" s="5"/>
      <c r="X2667" s="5"/>
      <c r="Y2667" s="5"/>
      <c r="Z2667" s="5"/>
    </row>
    <row r="2668" spans="1:26" ht="15.6" x14ac:dyDescent="0.3">
      <c r="A2668" s="18" t="s">
        <v>5</v>
      </c>
      <c r="B2668" s="24" t="s">
        <v>2662</v>
      </c>
      <c r="C2668" s="2" t="str">
        <f ca="1">IFERROR(__xludf.DUMMYFUNCTION("GOOGLETRANSLATE(B2668, ""bn"", ""en"")"),"43 people lost their lives in Jessore clashes due to religious tensions. The police failed to control the situation but kept trying. The government urges everyone to remain calm and behave responsibly. Many families leave the village for safety.")</f>
        <v>43 people lost their lives in Jessore clashes due to religious tensions. The police failed to control the situation but kept trying. The government urges everyone to remain calm and behave responsibly. Many families leave the village for safety.</v>
      </c>
      <c r="D2668" s="5"/>
      <c r="E2668" s="5"/>
      <c r="F2668" s="5"/>
      <c r="G2668" s="5"/>
      <c r="H2668" s="5"/>
      <c r="I2668" s="5"/>
      <c r="J2668" s="5"/>
      <c r="K2668" s="5"/>
      <c r="L2668" s="5"/>
      <c r="M2668" s="5"/>
      <c r="N2668" s="5"/>
      <c r="O2668" s="5"/>
      <c r="P2668" s="5"/>
      <c r="Q2668" s="5"/>
      <c r="R2668" s="5"/>
      <c r="S2668" s="5"/>
      <c r="T2668" s="5"/>
      <c r="U2668" s="5"/>
      <c r="V2668" s="5"/>
      <c r="W2668" s="5"/>
      <c r="X2668" s="5"/>
      <c r="Y2668" s="5"/>
      <c r="Z2668" s="5"/>
    </row>
    <row r="2669" spans="1:26" ht="15.6" x14ac:dyDescent="0.3">
      <c r="A2669" s="18" t="s">
        <v>5</v>
      </c>
      <c r="B2669" s="25" t="s">
        <v>2663</v>
      </c>
      <c r="C2669" s="2" t="str">
        <f ca="1">IFERROR(__xludf.DUMMYFUNCTION("GOOGLETRANSLATE(B2669, ""bn"", ""en"")"),"After lying in the morgue for 26 days due to doubts about religion, the body of the teenager Lucking May Chakma was moved")</f>
        <v>After lying in the morgue for 26 days due to doubts about religion, the body of the teenager Lucking May Chakma was moved</v>
      </c>
      <c r="D2669" s="5"/>
      <c r="E2669" s="5"/>
      <c r="F2669" s="5"/>
      <c r="G2669" s="5"/>
      <c r="H2669" s="5"/>
      <c r="I2669" s="5"/>
      <c r="J2669" s="5"/>
      <c r="K2669" s="5"/>
      <c r="L2669" s="5"/>
      <c r="M2669" s="5"/>
      <c r="N2669" s="5"/>
      <c r="O2669" s="5"/>
      <c r="P2669" s="5"/>
      <c r="Q2669" s="5"/>
      <c r="R2669" s="5"/>
      <c r="S2669" s="5"/>
      <c r="T2669" s="5"/>
      <c r="U2669" s="5"/>
      <c r="V2669" s="5"/>
      <c r="W2669" s="5"/>
      <c r="X2669" s="5"/>
      <c r="Y2669" s="5"/>
      <c r="Z2669" s="5"/>
    </row>
    <row r="2670" spans="1:26" ht="15.6" x14ac:dyDescent="0.3">
      <c r="A2670" s="18" t="s">
        <v>23</v>
      </c>
      <c r="B2670" s="25" t="s">
        <v>2664</v>
      </c>
      <c r="C2670" s="2" t="str">
        <f ca="1">IFERROR(__xludf.DUMMYFUNCTION("GOOGLETRANSLATE(B2670, ""bn"", ""en"")"),"Religion does not give support in time, rightly said. So doctors continue to serve us without looking at religion. On the other hand, the traders of religion are closing the religious places. So no religion is humanity first.")</f>
        <v>Religion does not give support in time, rightly said. So doctors continue to serve us without looking at religion. On the other hand, the traders of religion are closing the religious places. So no religion is humanity first.</v>
      </c>
      <c r="D2670" s="5"/>
      <c r="E2670" s="5"/>
      <c r="F2670" s="5"/>
      <c r="G2670" s="5"/>
      <c r="H2670" s="5"/>
      <c r="I2670" s="5"/>
      <c r="J2670" s="5"/>
      <c r="K2670" s="5"/>
      <c r="L2670" s="5"/>
      <c r="M2670" s="5"/>
      <c r="N2670" s="5"/>
      <c r="O2670" s="5"/>
      <c r="P2670" s="5"/>
      <c r="Q2670" s="5"/>
      <c r="R2670" s="5"/>
      <c r="S2670" s="5"/>
      <c r="T2670" s="5"/>
      <c r="U2670" s="5"/>
      <c r="V2670" s="5"/>
      <c r="W2670" s="5"/>
      <c r="X2670" s="5"/>
      <c r="Y2670" s="5"/>
      <c r="Z2670" s="5"/>
    </row>
    <row r="2671" spans="1:26" ht="15.6" x14ac:dyDescent="0.3">
      <c r="A2671" s="18" t="s">
        <v>8</v>
      </c>
      <c r="B2671" s="25" t="s">
        <v>2665</v>
      </c>
      <c r="C2671" s="2" t="str">
        <f ca="1">IFERROR(__xludf.DUMMYFUNCTION("GOOGLETRANSLATE(B2671, ""bn"", ""en"")"),"However, many analysts believe that communal attacks are happening in different parts of the country due to the failure of the ruling party and the government. Author Mohiuddin Ahmad said, the incidents of communal attacks that have happened in different "&amp;"parts of the country before, and now the pattern of Narail attacks are similar.")</f>
        <v>However, many analysts believe that communal attacks are happening in different parts of the country due to the failure of the ruling party and the government. Author Mohiuddin Ahmad said, the incidents of communal attacks that have happened in different parts of the country before, and now the pattern of Narail attacks are similar.</v>
      </c>
      <c r="D2671" s="5"/>
      <c r="E2671" s="5"/>
      <c r="F2671" s="5"/>
      <c r="G2671" s="5"/>
      <c r="H2671" s="5"/>
      <c r="I2671" s="5"/>
      <c r="J2671" s="5"/>
      <c r="K2671" s="5"/>
      <c r="L2671" s="5"/>
      <c r="M2671" s="5"/>
      <c r="N2671" s="5"/>
      <c r="O2671" s="5"/>
      <c r="P2671" s="5"/>
      <c r="Q2671" s="5"/>
      <c r="R2671" s="5"/>
      <c r="S2671" s="5"/>
      <c r="T2671" s="5"/>
      <c r="U2671" s="5"/>
      <c r="V2671" s="5"/>
      <c r="W2671" s="5"/>
      <c r="X2671" s="5"/>
      <c r="Y2671" s="5"/>
      <c r="Z2671" s="5"/>
    </row>
    <row r="2672" spans="1:26" ht="15.6" x14ac:dyDescent="0.3">
      <c r="A2672" s="18" t="s">
        <v>3</v>
      </c>
      <c r="B2672" s="25" t="s">
        <v>2666</v>
      </c>
      <c r="C2672" s="2" t="str">
        <f ca="1">IFERROR(__xludf.DUMMYFUNCTION("GOOGLETRANSLATE(B2672, ""bn"", ""en"")"),"People of all religions will respect each other's rights and live peacefully and no one will violate anyone's religious beliefs or rights.")</f>
        <v>People of all religions will respect each other's rights and live peacefully and no one will violate anyone's religious beliefs or rights.</v>
      </c>
      <c r="D2672" s="5"/>
      <c r="E2672" s="5"/>
      <c r="F2672" s="5"/>
      <c r="G2672" s="5"/>
      <c r="H2672" s="5"/>
      <c r="I2672" s="5"/>
      <c r="J2672" s="5"/>
      <c r="K2672" s="5"/>
      <c r="L2672" s="5"/>
      <c r="M2672" s="5"/>
      <c r="N2672" s="5"/>
      <c r="O2672" s="5"/>
      <c r="P2672" s="5"/>
      <c r="Q2672" s="5"/>
      <c r="R2672" s="5"/>
      <c r="S2672" s="5"/>
      <c r="T2672" s="5"/>
      <c r="U2672" s="5"/>
      <c r="V2672" s="5"/>
      <c r="W2672" s="5"/>
      <c r="X2672" s="5"/>
      <c r="Y2672" s="5"/>
      <c r="Z2672" s="5"/>
    </row>
    <row r="2673" spans="1:26" ht="15.6" x14ac:dyDescent="0.3">
      <c r="A2673" s="19" t="s">
        <v>5</v>
      </c>
      <c r="B2673" s="26" t="s">
        <v>2667</v>
      </c>
      <c r="C2673" s="2" t="str">
        <f ca="1">IFERROR(__xludf.DUMMYFUNCTION("GOOGLETRANSLATE(B2673, ""bn"", ""en"")"),"Unable to tolerate differences of opinion, many families have lost their loved ones in religious clashes, causing deep grief.")</f>
        <v>Unable to tolerate differences of opinion, many families have lost their loved ones in religious clashes, causing deep grief.</v>
      </c>
      <c r="D2673" s="5"/>
      <c r="E2673" s="5"/>
      <c r="F2673" s="5"/>
      <c r="G2673" s="5"/>
      <c r="H2673" s="5"/>
      <c r="I2673" s="5"/>
      <c r="J2673" s="5"/>
      <c r="K2673" s="5"/>
      <c r="L2673" s="5"/>
      <c r="M2673" s="5"/>
      <c r="N2673" s="5"/>
      <c r="O2673" s="5"/>
      <c r="P2673" s="5"/>
      <c r="Q2673" s="5"/>
      <c r="R2673" s="5"/>
      <c r="S2673" s="5"/>
      <c r="T2673" s="5"/>
      <c r="U2673" s="5"/>
      <c r="V2673" s="5"/>
      <c r="W2673" s="5"/>
      <c r="X2673" s="5"/>
      <c r="Y2673" s="5"/>
      <c r="Z2673" s="5"/>
    </row>
    <row r="2674" spans="1:26" ht="15.6" x14ac:dyDescent="0.3">
      <c r="A2674" s="18" t="s">
        <v>23</v>
      </c>
      <c r="B2674" s="24" t="s">
        <v>2668</v>
      </c>
      <c r="C2674" s="2" t="str">
        <f ca="1">IFERROR(__xludf.DUMMYFUNCTION("GOOGLETRANSLATE(B2674, ""bn"", ""en"")"),"Extremist groups in the Muslim community are spreading religious extremism and fueling hatred and violence against other religions.")</f>
        <v>Extremist groups in the Muslim community are spreading religious extremism and fueling hatred and violence against other religions.</v>
      </c>
      <c r="D2674" s="5"/>
      <c r="E2674" s="5"/>
      <c r="F2674" s="5"/>
      <c r="G2674" s="5"/>
      <c r="H2674" s="5"/>
      <c r="I2674" s="5"/>
      <c r="J2674" s="5"/>
      <c r="K2674" s="5"/>
      <c r="L2674" s="5"/>
      <c r="M2674" s="5"/>
      <c r="N2674" s="5"/>
      <c r="O2674" s="5"/>
      <c r="P2674" s="5"/>
      <c r="Q2674" s="5"/>
      <c r="R2674" s="5"/>
      <c r="S2674" s="5"/>
      <c r="T2674" s="5"/>
      <c r="U2674" s="5"/>
      <c r="V2674" s="5"/>
      <c r="W2674" s="5"/>
      <c r="X2674" s="5"/>
      <c r="Y2674" s="5"/>
      <c r="Z2674" s="5"/>
    </row>
    <row r="2675" spans="1:26" ht="15.6" x14ac:dyDescent="0.3">
      <c r="A2675" s="19" t="s">
        <v>3</v>
      </c>
      <c r="B2675" s="26" t="s">
        <v>2669</v>
      </c>
      <c r="C2675" s="2" t="str">
        <f ca="1">IFERROR(__xludf.DUMMYFUNCTION("GOOGLETRANSLATE(B2675, ""bn"", ""en"")"),"In Christianity people are always taught to live a peaceful way of life, where they follow God's commandments, help each other, offer love and cooperation, and never make any attempt to create unrest or violence against others.")</f>
        <v>In Christianity people are always taught to live a peaceful way of life, where they follow God's commandments, help each other, offer love and cooperation, and never make any attempt to create unrest or violence against others.</v>
      </c>
      <c r="D2675" s="7"/>
      <c r="E2675" s="7"/>
      <c r="F2675" s="7"/>
      <c r="G2675" s="7"/>
      <c r="H2675" s="5"/>
      <c r="I2675" s="5"/>
      <c r="J2675" s="5"/>
      <c r="K2675" s="5"/>
      <c r="L2675" s="5"/>
      <c r="M2675" s="5"/>
      <c r="N2675" s="5"/>
      <c r="O2675" s="5"/>
      <c r="P2675" s="5"/>
      <c r="Q2675" s="5"/>
      <c r="R2675" s="5"/>
      <c r="S2675" s="5"/>
      <c r="T2675" s="5"/>
      <c r="U2675" s="5"/>
      <c r="V2675" s="5"/>
      <c r="W2675" s="5"/>
      <c r="X2675" s="5"/>
      <c r="Y2675" s="5"/>
      <c r="Z2675" s="5"/>
    </row>
    <row r="2676" spans="1:26" ht="15.6" x14ac:dyDescent="0.3">
      <c r="A2676" s="19" t="s">
        <v>5</v>
      </c>
      <c r="B2676" s="26" t="s">
        <v>2670</v>
      </c>
      <c r="C2676" s="2" t="str">
        <f ca="1">IFERROR(__xludf.DUMMYFUNCTION("GOOGLETRANSLATE(B2676, ""bn"", ""en"")"),"Golam Sarwar's forces burnt the house, post office and school of the Nag family. When the police removed the attackers without stopping them, the Muslim mob ransacked the village.")</f>
        <v>Golam Sarwar's forces burnt the house, post office and school of the Nag family. When the police removed the attackers without stopping them, the Muslim mob ransacked the village.</v>
      </c>
      <c r="D2676" s="7"/>
      <c r="E2676" s="7"/>
      <c r="F2676" s="7"/>
      <c r="G2676" s="7"/>
      <c r="H2676" s="7"/>
      <c r="I2676" s="7"/>
      <c r="J2676" s="7"/>
      <c r="K2676" s="7"/>
      <c r="L2676" s="7"/>
      <c r="M2676" s="7"/>
      <c r="N2676" s="5"/>
      <c r="O2676" s="5"/>
      <c r="P2676" s="5"/>
      <c r="Q2676" s="5"/>
      <c r="R2676" s="5"/>
      <c r="S2676" s="5"/>
      <c r="T2676" s="5"/>
      <c r="U2676" s="5"/>
      <c r="V2676" s="5"/>
      <c r="W2676" s="5"/>
      <c r="X2676" s="5"/>
      <c r="Y2676" s="5"/>
      <c r="Z2676" s="5"/>
    </row>
    <row r="2677" spans="1:26" ht="15.6" x14ac:dyDescent="0.3">
      <c r="A2677" s="19" t="s">
        <v>5</v>
      </c>
      <c r="B2677" s="26" t="s">
        <v>2671</v>
      </c>
      <c r="C2677" s="2" t="str">
        <f ca="1">IFERROR(__xludf.DUMMYFUNCTION("GOOGLETRANSLATE(B2677, ""bn"", ""en"")"),"All the Hindu villagers were brutally killed in Mynam village near Naogaon in the then Rajshahi district; Two minors were kept alive. The Santal tribal community of Durusha area also suffered from anti-Hindu massacres.")</f>
        <v>All the Hindu villagers were brutally killed in Mynam village near Naogaon in the then Rajshahi district; Two minors were kept alive. The Santal tribal community of Durusha area also suffered from anti-Hindu massacres.</v>
      </c>
      <c r="D2677" s="7"/>
      <c r="E2677" s="7"/>
      <c r="F2677" s="7"/>
      <c r="G2677" s="7"/>
      <c r="H2677" s="7"/>
      <c r="I2677" s="7"/>
      <c r="J2677" s="7"/>
      <c r="K2677" s="7"/>
      <c r="L2677" s="7"/>
      <c r="M2677" s="7"/>
      <c r="N2677" s="7"/>
      <c r="O2677" s="7"/>
      <c r="P2677" s="7"/>
      <c r="Q2677" s="7"/>
      <c r="R2677" s="7"/>
      <c r="S2677" s="5"/>
      <c r="T2677" s="5"/>
      <c r="U2677" s="5"/>
      <c r="V2677" s="5"/>
      <c r="W2677" s="5"/>
      <c r="X2677" s="5"/>
      <c r="Y2677" s="5"/>
      <c r="Z2677" s="5"/>
    </row>
    <row r="2678" spans="1:26" ht="15.6" x14ac:dyDescent="0.3">
      <c r="A2678" s="18" t="s">
        <v>23</v>
      </c>
      <c r="B2678" s="25" t="s">
        <v>2672</v>
      </c>
      <c r="C2678" s="2" t="str">
        <f ca="1">IFERROR(__xludf.DUMMYFUNCTION("GOOGLETRANSLATE(B2678, ""bn"", ""en"")"),"The government could suppress this fanatical group if it wanted to. But does the government think about Hindus at all? Their vote has no value to the government, so maybe the government is not taking any action today.'")</f>
        <v>The government could suppress this fanatical group if it wanted to. But does the government think about Hindus at all? Their vote has no value to the government, so maybe the government is not taking any action today.'</v>
      </c>
      <c r="D2678" s="5"/>
      <c r="E2678" s="5"/>
      <c r="F2678" s="5"/>
      <c r="G2678" s="5"/>
      <c r="H2678" s="5"/>
      <c r="I2678" s="5"/>
      <c r="J2678" s="5"/>
      <c r="K2678" s="5"/>
      <c r="L2678" s="5"/>
      <c r="M2678" s="5"/>
      <c r="N2678" s="5"/>
      <c r="O2678" s="5"/>
      <c r="P2678" s="5"/>
      <c r="Q2678" s="5"/>
      <c r="R2678" s="5"/>
      <c r="S2678" s="5"/>
      <c r="T2678" s="5"/>
      <c r="U2678" s="5"/>
      <c r="V2678" s="5"/>
      <c r="W2678" s="5"/>
      <c r="X2678" s="5"/>
      <c r="Y2678" s="5"/>
      <c r="Z2678" s="5"/>
    </row>
    <row r="2679" spans="1:26" ht="15.6" x14ac:dyDescent="0.3">
      <c r="A2679" s="18" t="s">
        <v>8</v>
      </c>
      <c r="B2679" s="25" t="s">
        <v>2673</v>
      </c>
      <c r="C2679" s="2" t="str">
        <f ca="1">IFERROR(__xludf.DUMMYFUNCTION("GOOGLETRANSLATE(B2679, ""bn"", ""en"")"),"Converted from Hindu to Muslim with the hope of the hereafter. After enjoying the husband, he raped her and threw her out of the house and got married a second time.")</f>
        <v>Converted from Hindu to Muslim with the hope of the hereafter. After enjoying the husband, he raped her and threw her out of the house and got married a second time.</v>
      </c>
      <c r="D2679" s="5"/>
      <c r="E2679" s="5"/>
      <c r="F2679" s="5"/>
      <c r="G2679" s="5"/>
      <c r="H2679" s="5"/>
      <c r="I2679" s="5"/>
      <c r="J2679" s="5"/>
      <c r="K2679" s="5"/>
      <c r="L2679" s="5"/>
      <c r="M2679" s="5"/>
      <c r="N2679" s="5"/>
      <c r="O2679" s="5"/>
      <c r="P2679" s="5"/>
      <c r="Q2679" s="5"/>
      <c r="R2679" s="5"/>
      <c r="S2679" s="5"/>
      <c r="T2679" s="5"/>
      <c r="U2679" s="5"/>
      <c r="V2679" s="5"/>
      <c r="W2679" s="5"/>
      <c r="X2679" s="5"/>
      <c r="Y2679" s="5"/>
      <c r="Z2679" s="5"/>
    </row>
    <row r="2680" spans="1:26" ht="15.6" x14ac:dyDescent="0.3">
      <c r="A2680" s="18" t="s">
        <v>23</v>
      </c>
      <c r="B2680" s="25" t="s">
        <v>2674</v>
      </c>
      <c r="C2680" s="2" t="str">
        <f ca="1">IFERROR(__xludf.DUMMYFUNCTION("GOOGLETRANSLATE(B2680, ""bn"", ""en"")"),"Those who have done this act have no particular religion or birth identity. Being human, at least for the sake of humanity, people cannot do that. It is also shameful as a human being.")</f>
        <v>Those who have done this act have no particular religion or birth identity. Being human, at least for the sake of humanity, people cannot do that. It is also shameful as a human being.</v>
      </c>
      <c r="D2680" s="2"/>
      <c r="E2680" s="2"/>
      <c r="F2680" s="2"/>
      <c r="G2680" s="2"/>
      <c r="H2680" s="5"/>
      <c r="I2680" s="5"/>
      <c r="J2680" s="5"/>
      <c r="K2680" s="5"/>
      <c r="L2680" s="5"/>
      <c r="M2680" s="5"/>
      <c r="N2680" s="5"/>
      <c r="O2680" s="5"/>
      <c r="P2680" s="5"/>
      <c r="Q2680" s="5"/>
      <c r="R2680" s="5"/>
      <c r="S2680" s="5"/>
      <c r="T2680" s="5"/>
      <c r="U2680" s="5"/>
      <c r="V2680" s="5"/>
      <c r="W2680" s="5"/>
      <c r="X2680" s="5"/>
      <c r="Y2680" s="5"/>
      <c r="Z2680" s="5"/>
    </row>
    <row r="2681" spans="1:26" ht="15.6" x14ac:dyDescent="0.3">
      <c r="A2681" s="18" t="s">
        <v>23</v>
      </c>
      <c r="B2681" s="25" t="s">
        <v>2675</v>
      </c>
      <c r="C2681" s="2" t="str">
        <f ca="1">IFERROR(__xludf.DUMMYFUNCTION("GOOGLETRANSLATE(B2681, ""bn"", ""en"")"),"Al-Qur'an is the only pulse of Muslims, we want exemplary judgment for those who insult Al-Qur'an.")</f>
        <v>Al-Qur'an is the only pulse of Muslims, we want exemplary judgment for those who insult Al-Qur'an.</v>
      </c>
      <c r="D2681" s="5"/>
      <c r="E2681" s="5"/>
      <c r="F2681" s="5"/>
      <c r="G2681" s="5"/>
      <c r="H2681" s="5"/>
      <c r="I2681" s="5"/>
      <c r="J2681" s="5"/>
      <c r="K2681" s="5"/>
      <c r="L2681" s="5"/>
      <c r="M2681" s="5"/>
      <c r="N2681" s="5"/>
      <c r="O2681" s="5"/>
      <c r="P2681" s="5"/>
      <c r="Q2681" s="5"/>
      <c r="R2681" s="5"/>
      <c r="S2681" s="5"/>
      <c r="T2681" s="5"/>
      <c r="U2681" s="5"/>
      <c r="V2681" s="5"/>
      <c r="W2681" s="5"/>
      <c r="X2681" s="5"/>
      <c r="Y2681" s="5"/>
      <c r="Z2681" s="5"/>
    </row>
    <row r="2682" spans="1:26" ht="15.6" x14ac:dyDescent="0.3">
      <c r="A2682" s="18" t="s">
        <v>3</v>
      </c>
      <c r="B2682" s="25" t="s">
        <v>2676</v>
      </c>
      <c r="C2682" s="2" t="str">
        <f ca="1">IFERROR(__xludf.DUMMYFUNCTION("GOOGLETRANSLATE(B2682, ""bn"", ""en"")"),"Sri Naresh Kumar, who has researched the causes of change in Buddhism, opines that, with a view to reviving the context of Buddhism and the Brahminical culture, the Brahmin thinkers adopted a three-step plan.")</f>
        <v>Sri Naresh Kumar, who has researched the causes of change in Buddhism, opines that, with a view to reviving the context of Buddhism and the Brahminical culture, the Brahmin thinkers adopted a three-step plan.</v>
      </c>
      <c r="D2682" s="7"/>
      <c r="E2682" s="7"/>
      <c r="F2682" s="7"/>
      <c r="G2682" s="7"/>
      <c r="H2682" s="7"/>
      <c r="I2682" s="7"/>
      <c r="J2682" s="7"/>
      <c r="K2682" s="5"/>
      <c r="L2682" s="5"/>
      <c r="M2682" s="5"/>
      <c r="N2682" s="5"/>
      <c r="O2682" s="5"/>
      <c r="P2682" s="5"/>
      <c r="Q2682" s="5"/>
      <c r="R2682" s="5"/>
      <c r="S2682" s="5"/>
      <c r="T2682" s="5"/>
      <c r="U2682" s="5"/>
      <c r="V2682" s="5"/>
      <c r="W2682" s="5"/>
      <c r="X2682" s="5"/>
      <c r="Y2682" s="5"/>
      <c r="Z2682" s="5"/>
    </row>
    <row r="2683" spans="1:26" ht="15.6" x14ac:dyDescent="0.3">
      <c r="A2683" s="19" t="s">
        <v>3</v>
      </c>
      <c r="B2683" s="26" t="s">
        <v>2677</v>
      </c>
      <c r="C2683" s="2" t="str">
        <f ca="1">IFERROR(__xludf.DUMMYFUNCTION("GOOGLETRANSLATE(B2683, ""bn"", ""en"")"),"Misleading comments by some religious people interfered with religious discussion; So it is necessary to pay attention to the discussion with respect.")</f>
        <v>Misleading comments by some religious people interfered with religious discussion; So it is necessary to pay attention to the discussion with respect.</v>
      </c>
      <c r="D2683" s="7"/>
      <c r="E2683" s="7"/>
      <c r="F2683" s="7"/>
      <c r="G2683" s="7"/>
      <c r="H2683" s="5"/>
      <c r="I2683" s="5"/>
      <c r="J2683" s="5"/>
      <c r="K2683" s="5"/>
      <c r="L2683" s="5"/>
      <c r="M2683" s="5"/>
      <c r="N2683" s="5"/>
      <c r="O2683" s="5"/>
      <c r="P2683" s="5"/>
      <c r="Q2683" s="5"/>
      <c r="R2683" s="5"/>
      <c r="S2683" s="5"/>
      <c r="T2683" s="5"/>
      <c r="U2683" s="5"/>
      <c r="V2683" s="5"/>
      <c r="W2683" s="5"/>
      <c r="X2683" s="5"/>
      <c r="Y2683" s="5"/>
      <c r="Z2683" s="5"/>
    </row>
    <row r="2684" spans="1:26" ht="15.6" x14ac:dyDescent="0.3">
      <c r="A2684" s="18" t="s">
        <v>8</v>
      </c>
      <c r="B2684" s="25" t="s">
        <v>2678</v>
      </c>
      <c r="C2684" s="2" t="str">
        <f ca="1">IFERROR(__xludf.DUMMYFUNCTION("GOOGLETRANSLATE(B2684, ""bn"", ""en"")"),"Another thing observed in the Battle of Uhud is that loyalty to the leader is the most important factor in battle. A single mistake, a single inadvertence can turn the tide of war. The archery forces forgot the Prophet's instructions and caused a disaster"&amp;". This disaster teaches that obedience to the leader is essential. Even in the difficult situation of Uhud, the Prophet (PBUH) brought the army under complete control.")</f>
        <v>Another thing observed in the Battle of Uhud is that loyalty to the leader is the most important factor in battle. A single mistake, a single inadvertence can turn the tide of war. The archery forces forgot the Prophet's instructions and caused a disaster. This disaster teaches that obedience to the leader is essential. Even in the difficult situation of Uhud, the Prophet (PBUH) brought the army under complete control.</v>
      </c>
      <c r="D2684" s="5"/>
      <c r="E2684" s="5"/>
      <c r="F2684" s="5"/>
      <c r="G2684" s="5"/>
      <c r="H2684" s="5"/>
      <c r="I2684" s="5"/>
      <c r="J2684" s="5"/>
      <c r="K2684" s="5"/>
      <c r="L2684" s="5"/>
      <c r="M2684" s="5"/>
      <c r="N2684" s="5"/>
      <c r="O2684" s="5"/>
      <c r="P2684" s="5"/>
      <c r="Q2684" s="5"/>
      <c r="R2684" s="5"/>
      <c r="S2684" s="5"/>
      <c r="T2684" s="5"/>
      <c r="U2684" s="5"/>
      <c r="V2684" s="5"/>
      <c r="W2684" s="5"/>
      <c r="X2684" s="5"/>
      <c r="Y2684" s="5"/>
      <c r="Z2684" s="5"/>
    </row>
    <row r="2685" spans="1:26" ht="15.6" x14ac:dyDescent="0.3">
      <c r="A2685" s="18" t="s">
        <v>8</v>
      </c>
      <c r="B2685" s="25" t="s">
        <v>2679</v>
      </c>
      <c r="C2685" s="2" t="str">
        <f ca="1">IFERROR(__xludf.DUMMYFUNCTION("GOOGLETRANSLATE(B2685, ""bn"", ""en"")"),"Calling it a religious incitement, the people of four neighboring villages staged a protest march against Jhumon on the night of March 16. On the morning of March 17, an attack was announced from the microphone of Kashipur village mosque to Noagaon villag"&amp;"e.")</f>
        <v>Calling it a religious incitement, the people of four neighboring villages staged a protest march against Jhumon on the night of March 16. On the morning of March 17, an attack was announced from the microphone of Kashipur village mosque to Noagaon village.</v>
      </c>
      <c r="D2685" s="6"/>
      <c r="E2685" s="6"/>
      <c r="F2685" s="6"/>
      <c r="G2685" s="2"/>
      <c r="H2685" s="5"/>
      <c r="I2685" s="5"/>
      <c r="J2685" s="5"/>
      <c r="K2685" s="5"/>
      <c r="L2685" s="5"/>
      <c r="M2685" s="5"/>
      <c r="N2685" s="5"/>
      <c r="O2685" s="5"/>
      <c r="P2685" s="5"/>
      <c r="Q2685" s="5"/>
      <c r="R2685" s="5"/>
      <c r="S2685" s="5"/>
      <c r="T2685" s="5"/>
      <c r="U2685" s="5"/>
      <c r="V2685" s="5"/>
      <c r="W2685" s="5"/>
      <c r="X2685" s="5"/>
      <c r="Y2685" s="5"/>
      <c r="Z2685" s="5"/>
    </row>
    <row r="2686" spans="1:26" ht="15.6" x14ac:dyDescent="0.3">
      <c r="A2686" s="19" t="s">
        <v>23</v>
      </c>
      <c r="B2686" s="26" t="s">
        <v>2680</v>
      </c>
      <c r="C2686" s="2" t="str">
        <f ca="1">IFERROR(__xludf.DUMMYFUNCTION("GOOGLETRANSLATE(B2686, ""bn"", ""en"")"),"A number of radicalized extremists living in Muslim countries are posting anti-Muslim Islamophobia on the social networking site Facebook.")</f>
        <v>A number of radicalized extremists living in Muslim countries are posting anti-Muslim Islamophobia on the social networking site Facebook.</v>
      </c>
      <c r="D2686" s="5"/>
      <c r="E2686" s="5"/>
      <c r="F2686" s="5"/>
      <c r="G2686" s="5"/>
      <c r="H2686" s="5"/>
      <c r="I2686" s="5"/>
      <c r="J2686" s="5"/>
      <c r="K2686" s="5"/>
      <c r="L2686" s="5"/>
      <c r="M2686" s="5"/>
      <c r="N2686" s="5"/>
      <c r="O2686" s="5"/>
      <c r="P2686" s="5"/>
      <c r="Q2686" s="5"/>
      <c r="R2686" s="5"/>
      <c r="S2686" s="5"/>
      <c r="T2686" s="5"/>
      <c r="U2686" s="5"/>
      <c r="V2686" s="5"/>
      <c r="W2686" s="5"/>
      <c r="X2686" s="5"/>
      <c r="Y2686" s="5"/>
      <c r="Z2686" s="5"/>
    </row>
    <row r="2687" spans="1:26" ht="15.6" x14ac:dyDescent="0.3">
      <c r="A2687" s="18" t="s">
        <v>23</v>
      </c>
      <c r="B2687" s="25" t="s">
        <v>2681</v>
      </c>
      <c r="C2687" s="2" t="str">
        <f ca="1">IFERROR(__xludf.DUMMYFUNCTION("GOOGLETRANSLATE(B2687, ""bn"", ""en"")"),"When the minority religious communities of the country were being oppressed, did anyone from other communities show sympathy? If it did, the Desi would have been stronger recently.")</f>
        <v>When the minority religious communities of the country were being oppressed, did anyone from other communities show sympathy? If it did, the Desi would have been stronger recently.</v>
      </c>
      <c r="D2687" s="2"/>
      <c r="E2687" s="2"/>
      <c r="F2687" s="2"/>
      <c r="G2687" s="2"/>
      <c r="H2687" s="5"/>
      <c r="I2687" s="5"/>
      <c r="J2687" s="5"/>
      <c r="K2687" s="5"/>
      <c r="L2687" s="5"/>
      <c r="M2687" s="5"/>
      <c r="N2687" s="5"/>
      <c r="O2687" s="5"/>
      <c r="P2687" s="5"/>
      <c r="Q2687" s="5"/>
      <c r="R2687" s="5"/>
      <c r="S2687" s="5"/>
      <c r="T2687" s="5"/>
      <c r="U2687" s="5"/>
      <c r="V2687" s="5"/>
      <c r="W2687" s="5"/>
      <c r="X2687" s="5"/>
      <c r="Y2687" s="5"/>
      <c r="Z2687" s="5"/>
    </row>
    <row r="2688" spans="1:26" ht="15.6" x14ac:dyDescent="0.3">
      <c r="A2688" s="19" t="s">
        <v>8</v>
      </c>
      <c r="B2688" s="26" t="s">
        <v>2682</v>
      </c>
      <c r="C2688" s="2" t="str">
        <f ca="1">IFERROR(__xludf.DUMMYFUNCTION("GOOGLETRANSLATE(B2688, ""bn"", ""en"")"),"Stop building mosques instead of temples. And if that place does not belong to a temple, then a mosque should not be built there.")</f>
        <v>Stop building mosques instead of temples. And if that place does not belong to a temple, then a mosque should not be built there.</v>
      </c>
      <c r="D2688" s="5"/>
      <c r="E2688" s="5"/>
      <c r="F2688" s="5"/>
      <c r="G2688" s="5"/>
      <c r="H2688" s="5"/>
      <c r="I2688" s="5"/>
      <c r="J2688" s="5"/>
      <c r="K2688" s="5"/>
      <c r="L2688" s="5"/>
      <c r="M2688" s="5"/>
      <c r="N2688" s="5"/>
      <c r="O2688" s="5"/>
      <c r="P2688" s="5"/>
      <c r="Q2688" s="5"/>
      <c r="R2688" s="5"/>
      <c r="S2688" s="5"/>
      <c r="T2688" s="5"/>
      <c r="U2688" s="5"/>
      <c r="V2688" s="5"/>
      <c r="W2688" s="5"/>
      <c r="X2688" s="5"/>
      <c r="Y2688" s="5"/>
      <c r="Z2688" s="5"/>
    </row>
    <row r="2689" spans="1:26" ht="15.6" x14ac:dyDescent="0.3">
      <c r="A2689" s="18" t="s">
        <v>8</v>
      </c>
      <c r="B2689" s="25" t="s">
        <v>2683</v>
      </c>
      <c r="C2689" s="2" t="str">
        <f ca="1">IFERROR(__xludf.DUMMYFUNCTION("GOOGLETRANSLATE(B2689, ""bn"", ""en"")"),"Five arrested in communal riots in Pirgacha, once again Hindu neighborhood was attacked, beaten, set on fire")</f>
        <v>Five arrested in communal riots in Pirgacha, once again Hindu neighborhood was attacked, beaten, set on fire</v>
      </c>
      <c r="D2689" s="2"/>
      <c r="E2689" s="2"/>
      <c r="F2689" s="2"/>
      <c r="G2689" s="2"/>
      <c r="H2689" s="5"/>
      <c r="I2689" s="5"/>
      <c r="J2689" s="5"/>
      <c r="K2689" s="5"/>
      <c r="L2689" s="5"/>
      <c r="M2689" s="5"/>
      <c r="N2689" s="5"/>
      <c r="O2689" s="5"/>
      <c r="P2689" s="5"/>
      <c r="Q2689" s="5"/>
      <c r="R2689" s="5"/>
      <c r="S2689" s="5"/>
      <c r="T2689" s="5"/>
      <c r="U2689" s="5"/>
      <c r="V2689" s="5"/>
      <c r="W2689" s="5"/>
      <c r="X2689" s="5"/>
      <c r="Y2689" s="5"/>
      <c r="Z2689" s="5"/>
    </row>
    <row r="2690" spans="1:26" ht="15.6" x14ac:dyDescent="0.3">
      <c r="A2690" s="18" t="s">
        <v>5</v>
      </c>
      <c r="B2690" s="25" t="s">
        <v>2684</v>
      </c>
      <c r="C2690" s="2" t="str">
        <f ca="1">IFERROR(__xludf.DUMMYFUNCTION("GOOGLETRANSLATE(B2690, ""bn"", ""en"")"),"In 1967, Hindu-Muslim riots in Ranchi and Hatia, Jharkhand killed 184 people and destroyed a lot of property.")</f>
        <v>In 1967, Hindu-Muslim riots in Ranchi and Hatia, Jharkhand killed 184 people and destroyed a lot of property.</v>
      </c>
      <c r="D2690" s="2"/>
      <c r="E2690" s="2"/>
      <c r="F2690" s="2"/>
      <c r="G2690" s="2"/>
      <c r="H2690" s="3"/>
      <c r="I2690" s="3"/>
      <c r="J2690" s="3"/>
      <c r="K2690" s="3"/>
      <c r="L2690" s="3"/>
      <c r="M2690" s="3"/>
      <c r="N2690" s="3"/>
      <c r="O2690" s="3"/>
      <c r="P2690" s="3"/>
      <c r="Q2690" s="3"/>
      <c r="R2690" s="3"/>
      <c r="S2690" s="3"/>
      <c r="T2690" s="3"/>
      <c r="U2690" s="3"/>
      <c r="V2690" s="3"/>
      <c r="W2690" s="3"/>
      <c r="X2690" s="3"/>
      <c r="Y2690" s="3"/>
      <c r="Z2690" s="3"/>
    </row>
    <row r="2691" spans="1:26" ht="15.6" x14ac:dyDescent="0.3">
      <c r="A2691" s="18" t="s">
        <v>5</v>
      </c>
      <c r="B2691" s="25" t="s">
        <v>2685</v>
      </c>
      <c r="C2691" s="2" t="str">
        <f ca="1">IFERROR(__xludf.DUMMYFUNCTION("GOOGLETRANSLATE(B2691, ""bn"", ""en"")"),"Hindu temples, homes and businesses were attacked across the country, in which several were killed, following rumors that Milla had kept the Quran in a shrine.")</f>
        <v>Hindu temples, homes and businesses were attacked across the country, in which several were killed, following rumors that Milla had kept the Quran in a shrine.</v>
      </c>
      <c r="D2691" s="5"/>
      <c r="E2691" s="5"/>
      <c r="F2691" s="5"/>
      <c r="G2691" s="5"/>
      <c r="H2691" s="5"/>
      <c r="I2691" s="5"/>
      <c r="J2691" s="5"/>
      <c r="K2691" s="5"/>
      <c r="L2691" s="5"/>
      <c r="M2691" s="5"/>
      <c r="N2691" s="5"/>
      <c r="O2691" s="5"/>
      <c r="P2691" s="5"/>
      <c r="Q2691" s="5"/>
      <c r="R2691" s="5"/>
      <c r="S2691" s="5"/>
      <c r="T2691" s="5"/>
      <c r="U2691" s="5"/>
      <c r="V2691" s="5"/>
      <c r="W2691" s="5"/>
      <c r="X2691" s="5"/>
      <c r="Y2691" s="5"/>
      <c r="Z2691" s="5"/>
    </row>
    <row r="2692" spans="1:26" ht="15.6" x14ac:dyDescent="0.3">
      <c r="A2692" s="19" t="s">
        <v>23</v>
      </c>
      <c r="B2692" s="26" t="s">
        <v>2686</v>
      </c>
      <c r="C2692" s="2" t="str">
        <f ca="1">IFERROR(__xludf.DUMMYFUNCTION("GOOGLETRANSLATE(B2692, ""bn"", ""en"")"),"Attacks spread false rumors against minorities on charges of religious insult; Happening since 2011, Beecher claims.")</f>
        <v>Attacks spread false rumors against minorities on charges of religious insult; Happening since 2011, Beecher claims.</v>
      </c>
      <c r="D2692" s="7"/>
      <c r="E2692" s="7"/>
      <c r="F2692" s="7"/>
      <c r="G2692" s="7"/>
      <c r="H2692" s="7"/>
      <c r="I2692" s="5"/>
      <c r="J2692" s="5"/>
      <c r="K2692" s="5"/>
      <c r="L2692" s="5"/>
      <c r="M2692" s="5"/>
      <c r="N2692" s="5"/>
      <c r="O2692" s="5"/>
      <c r="P2692" s="5"/>
      <c r="Q2692" s="5"/>
      <c r="R2692" s="5"/>
      <c r="S2692" s="5"/>
      <c r="T2692" s="5"/>
      <c r="U2692" s="5"/>
      <c r="V2692" s="5"/>
      <c r="W2692" s="5"/>
      <c r="X2692" s="5"/>
      <c r="Y2692" s="5"/>
      <c r="Z2692" s="5"/>
    </row>
    <row r="2693" spans="1:26" ht="15.6" x14ac:dyDescent="0.3">
      <c r="A2693" s="18" t="s">
        <v>23</v>
      </c>
      <c r="B2693" s="24" t="s">
        <v>2687</v>
      </c>
      <c r="C2693" s="2" t="str">
        <f ca="1">IFERROR(__xludf.DUMMYFUNCTION("GOOGLETRANSLATE(B2693, ""bn"", ""en"")"),"Hindus often have a hostile attitude towards other religions which endangers the religious peace of the country.")</f>
        <v>Hindus often have a hostile attitude towards other religions which endangers the religious peace of the country.</v>
      </c>
      <c r="D2693" s="5"/>
      <c r="E2693" s="5"/>
      <c r="F2693" s="5"/>
      <c r="G2693" s="5"/>
      <c r="H2693" s="5"/>
      <c r="I2693" s="5"/>
      <c r="J2693" s="5"/>
      <c r="K2693" s="5"/>
      <c r="L2693" s="5"/>
      <c r="M2693" s="5"/>
      <c r="N2693" s="5"/>
      <c r="O2693" s="5"/>
      <c r="P2693" s="5"/>
      <c r="Q2693" s="5"/>
      <c r="R2693" s="5"/>
      <c r="S2693" s="5"/>
      <c r="T2693" s="5"/>
      <c r="U2693" s="5"/>
      <c r="V2693" s="5"/>
      <c r="W2693" s="5"/>
      <c r="X2693" s="5"/>
      <c r="Y2693" s="5"/>
      <c r="Z2693" s="5"/>
    </row>
    <row r="2694" spans="1:26" ht="15.6" x14ac:dyDescent="0.3">
      <c r="A2694" s="18" t="s">
        <v>23</v>
      </c>
      <c r="B2694" s="24" t="s">
        <v>2688</v>
      </c>
      <c r="C2694" s="2" t="str">
        <f ca="1">IFERROR(__xludf.DUMMYFUNCTION("GOOGLETRANSLATE(B2694, ""bn"", ""en"")"),"Some members of the Buddhist community are creating disharmony in the society by making derogatory comments against other religions.")</f>
        <v>Some members of the Buddhist community are creating disharmony in the society by making derogatory comments against other religions.</v>
      </c>
      <c r="D2694" s="5"/>
      <c r="E2694" s="5"/>
      <c r="F2694" s="5"/>
      <c r="G2694" s="5"/>
      <c r="H2694" s="5"/>
      <c r="I2694" s="5"/>
      <c r="J2694" s="5"/>
      <c r="K2694" s="5"/>
      <c r="L2694" s="5"/>
      <c r="M2694" s="5"/>
      <c r="N2694" s="5"/>
      <c r="O2694" s="5"/>
      <c r="P2694" s="5"/>
      <c r="Q2694" s="5"/>
      <c r="R2694" s="5"/>
      <c r="S2694" s="5"/>
      <c r="T2694" s="5"/>
      <c r="U2694" s="5"/>
      <c r="V2694" s="5"/>
      <c r="W2694" s="5"/>
      <c r="X2694" s="5"/>
      <c r="Y2694" s="5"/>
      <c r="Z2694" s="5"/>
    </row>
    <row r="2695" spans="1:26" ht="15.6" x14ac:dyDescent="0.3">
      <c r="A2695" s="18" t="s">
        <v>23</v>
      </c>
      <c r="B2695" s="25" t="s">
        <v>2689</v>
      </c>
      <c r="C2695" s="2" t="str">
        <f ca="1">IFERROR(__xludf.DUMMYFUNCTION("GOOGLETRANSLATE(B2695, ""bn"", ""en"")"),"Those Facebook users have hurt the sentiments of Muslims by insulting Islam and our Prophet, they have no place in society, they are anti-Islamic dirty minded people.")</f>
        <v>Those Facebook users have hurt the sentiments of Muslims by insulting Islam and our Prophet, they have no place in society, they are anti-Islamic dirty minded people.</v>
      </c>
      <c r="D2695" s="5"/>
      <c r="E2695" s="5"/>
      <c r="F2695" s="5"/>
      <c r="G2695" s="5"/>
      <c r="H2695" s="5"/>
      <c r="I2695" s="5"/>
      <c r="J2695" s="5"/>
      <c r="K2695" s="5"/>
      <c r="L2695" s="5"/>
      <c r="M2695" s="5"/>
      <c r="N2695" s="5"/>
      <c r="O2695" s="5"/>
      <c r="P2695" s="5"/>
      <c r="Q2695" s="5"/>
      <c r="R2695" s="5"/>
      <c r="S2695" s="5"/>
      <c r="T2695" s="5"/>
      <c r="U2695" s="5"/>
      <c r="V2695" s="5"/>
      <c r="W2695" s="5"/>
      <c r="X2695" s="5"/>
      <c r="Y2695" s="5"/>
      <c r="Z2695" s="5"/>
    </row>
    <row r="2696" spans="1:26" ht="15.6" x14ac:dyDescent="0.3">
      <c r="A2696" s="19" t="s">
        <v>3</v>
      </c>
      <c r="B2696" s="26" t="s">
        <v>2690</v>
      </c>
      <c r="C2696" s="2" t="str">
        <f ca="1">IFERROR(__xludf.DUMMYFUNCTION("GOOGLETRANSLATE(B2696, ""bn"", ""en"")"),"They thought that all the religions in the world have the same principle. Even in the small differences of religions there is a great unity. People have deliberately created differences in religion.")</f>
        <v>They thought that all the religions in the world have the same principle. Even in the small differences of religions there is a great unity. People have deliberately created differences in religion.</v>
      </c>
      <c r="D2696" s="5"/>
      <c r="E2696" s="5"/>
      <c r="F2696" s="5"/>
      <c r="G2696" s="5"/>
      <c r="H2696" s="5"/>
      <c r="I2696" s="5"/>
      <c r="J2696" s="5"/>
      <c r="K2696" s="5"/>
      <c r="L2696" s="5"/>
      <c r="M2696" s="5"/>
      <c r="N2696" s="5"/>
      <c r="O2696" s="5"/>
      <c r="P2696" s="5"/>
      <c r="Q2696" s="5"/>
      <c r="R2696" s="5"/>
      <c r="S2696" s="5"/>
      <c r="T2696" s="5"/>
      <c r="U2696" s="5"/>
      <c r="V2696" s="5"/>
      <c r="W2696" s="5"/>
      <c r="X2696" s="5"/>
      <c r="Y2696" s="5"/>
      <c r="Z2696" s="5"/>
    </row>
    <row r="2697" spans="1:26" ht="15.6" x14ac:dyDescent="0.3">
      <c r="A2697" s="19" t="s">
        <v>5</v>
      </c>
      <c r="B2697" s="26" t="s">
        <v>2691</v>
      </c>
      <c r="C2697" s="2" t="str">
        <f ca="1">IFERROR(__xludf.DUMMYFUNCTION("GOOGLETRANSLATE(B2697, ""bn"", ""en"")"),"Sri Lanka's civil war has resulted in many casualties, including religious tensions, between the Tamil and Buddhist-majority armies.")</f>
        <v>Sri Lanka's civil war has resulted in many casualties, including religious tensions, between the Tamil and Buddhist-majority armies.</v>
      </c>
      <c r="D2697" s="5"/>
      <c r="E2697" s="5"/>
      <c r="F2697" s="5"/>
      <c r="G2697" s="5"/>
      <c r="H2697" s="5"/>
      <c r="I2697" s="5"/>
      <c r="J2697" s="5"/>
      <c r="K2697" s="5"/>
      <c r="L2697" s="5"/>
      <c r="M2697" s="5"/>
      <c r="N2697" s="5"/>
      <c r="O2697" s="5"/>
      <c r="P2697" s="5"/>
      <c r="Q2697" s="5"/>
      <c r="R2697" s="5"/>
      <c r="S2697" s="5"/>
      <c r="T2697" s="5"/>
      <c r="U2697" s="5"/>
      <c r="V2697" s="5"/>
      <c r="W2697" s="5"/>
      <c r="X2697" s="5"/>
      <c r="Y2697" s="5"/>
      <c r="Z2697" s="5"/>
    </row>
    <row r="2698" spans="1:26" ht="15.6" x14ac:dyDescent="0.3">
      <c r="A2698" s="18" t="s">
        <v>8</v>
      </c>
      <c r="B2698" s="24" t="s">
        <v>2692</v>
      </c>
      <c r="C2698" s="2" t="str">
        <f ca="1">IFERROR(__xludf.DUMMYFUNCTION("GOOGLETRANSLATE(B2698, ""bn"", ""en"")"),"In Barisal's Ujirpur, a group of youths entered the temple and painted obscene pictures by sprinkling paint on the idol.")</f>
        <v>In Barisal's Ujirpur, a group of youths entered the temple and painted obscene pictures by sprinkling paint on the idol.</v>
      </c>
      <c r="D2698" s="5"/>
      <c r="E2698" s="5"/>
      <c r="F2698" s="5"/>
      <c r="G2698" s="5"/>
      <c r="H2698" s="5"/>
      <c r="I2698" s="5"/>
      <c r="J2698" s="5"/>
      <c r="K2698" s="5"/>
      <c r="L2698" s="5"/>
      <c r="M2698" s="5"/>
      <c r="N2698" s="5"/>
      <c r="O2698" s="5"/>
      <c r="P2698" s="5"/>
      <c r="Q2698" s="5"/>
      <c r="R2698" s="5"/>
      <c r="S2698" s="5"/>
      <c r="T2698" s="5"/>
      <c r="U2698" s="5"/>
      <c r="V2698" s="5"/>
      <c r="W2698" s="5"/>
      <c r="X2698" s="5"/>
      <c r="Y2698" s="5"/>
      <c r="Z2698" s="5"/>
    </row>
    <row r="2699" spans="1:26" ht="15.6" x14ac:dyDescent="0.3">
      <c r="A2699" s="18" t="s">
        <v>5</v>
      </c>
      <c r="B2699" s="24" t="s">
        <v>2693</v>
      </c>
      <c r="C2699" s="2" t="str">
        <f ca="1">IFERROR(__xludf.DUMMYFUNCTION("GOOGLETRANSLATE(B2699, ""bn"", ""en"")"),"27 Hindus killed in religious clashes in Rajshahi; Temples were vandalized and shops were burnt.")</f>
        <v>27 Hindus killed in religious clashes in Rajshahi; Temples were vandalized and shops were burnt.</v>
      </c>
      <c r="D2699" s="5"/>
      <c r="E2699" s="5"/>
      <c r="F2699" s="5"/>
      <c r="G2699" s="5"/>
      <c r="H2699" s="5"/>
      <c r="I2699" s="5"/>
      <c r="J2699" s="5"/>
      <c r="K2699" s="5"/>
      <c r="L2699" s="5"/>
      <c r="M2699" s="5"/>
      <c r="N2699" s="5"/>
      <c r="O2699" s="5"/>
      <c r="P2699" s="5"/>
      <c r="Q2699" s="5"/>
      <c r="R2699" s="5"/>
      <c r="S2699" s="5"/>
      <c r="T2699" s="5"/>
      <c r="U2699" s="5"/>
      <c r="V2699" s="5"/>
      <c r="W2699" s="5"/>
      <c r="X2699" s="5"/>
      <c r="Y2699" s="5"/>
      <c r="Z2699" s="5"/>
    </row>
    <row r="2700" spans="1:26" ht="15.6" x14ac:dyDescent="0.3">
      <c r="A2700" s="18" t="s">
        <v>8</v>
      </c>
      <c r="B2700" s="25" t="s">
        <v>2694</v>
      </c>
      <c r="C2700" s="2" t="str">
        <f ca="1">IFERROR(__xludf.DUMMYFUNCTION("GOOGLETRANSLATE(B2700, ""bn"", ""en"")"),"In contemporary society, Christians are persecuted in Iran and other parts of the Middle East, especially for trying to convert, which is illegal there. [96][97][98] 100–200 million Christians in Muslim-majority countries are alleged to be persecuted.")</f>
        <v>In contemporary society, Christians are persecuted in Iran and other parts of the Middle East, especially for trying to convert, which is illegal there. [96][97][98] 100–200 million Christians in Muslim-majority countries are alleged to be persecuted.</v>
      </c>
      <c r="D2700" s="2"/>
      <c r="E2700" s="2"/>
      <c r="F2700" s="2"/>
      <c r="G2700" s="2"/>
      <c r="H2700" s="3"/>
      <c r="I2700" s="3"/>
      <c r="J2700" s="3"/>
      <c r="K2700" s="3"/>
      <c r="L2700" s="3"/>
      <c r="M2700" s="3"/>
      <c r="N2700" s="3"/>
      <c r="O2700" s="3"/>
      <c r="P2700" s="3"/>
      <c r="Q2700" s="3"/>
      <c r="R2700" s="3"/>
      <c r="S2700" s="3"/>
      <c r="T2700" s="3"/>
      <c r="U2700" s="3"/>
      <c r="V2700" s="3"/>
      <c r="W2700" s="3"/>
      <c r="X2700" s="3"/>
      <c r="Y2700" s="3"/>
      <c r="Z2700" s="3"/>
    </row>
    <row r="2701" spans="1:26" ht="15.6" x14ac:dyDescent="0.3">
      <c r="A2701" s="18" t="s">
        <v>23</v>
      </c>
      <c r="B2701" s="25" t="s">
        <v>2695</v>
      </c>
      <c r="C2701" s="2" t="str">
        <f ca="1">IFERROR(__xludf.DUMMYFUNCTION("GOOGLETRANSLATE(B2701, ""bn"", ""en"")"),"However, prayers have been suspended in other mosques except the two main Jame Masjids in Chittagong. In Barisal, the wording of the call to prayer has also been changed.")</f>
        <v>However, prayers have been suspended in other mosques except the two main Jame Masjids in Chittagong. In Barisal, the wording of the call to prayer has also been changed.</v>
      </c>
      <c r="D2701" s="2"/>
      <c r="E2701" s="2"/>
      <c r="F2701" s="2"/>
      <c r="G2701" s="2"/>
      <c r="H2701" s="5"/>
      <c r="I2701" s="5"/>
      <c r="J2701" s="5"/>
      <c r="K2701" s="5"/>
      <c r="L2701" s="5"/>
      <c r="M2701" s="5"/>
      <c r="N2701" s="5"/>
      <c r="O2701" s="5"/>
      <c r="P2701" s="5"/>
      <c r="Q2701" s="5"/>
      <c r="R2701" s="5"/>
      <c r="S2701" s="5"/>
      <c r="T2701" s="5"/>
      <c r="U2701" s="5"/>
      <c r="V2701" s="5"/>
      <c r="W2701" s="5"/>
      <c r="X2701" s="5"/>
      <c r="Y2701" s="5"/>
      <c r="Z2701" s="5"/>
    </row>
    <row r="2702" spans="1:26" ht="15.6" x14ac:dyDescent="0.3">
      <c r="A2702" s="19" t="s">
        <v>23</v>
      </c>
      <c r="B2702" s="26" t="s">
        <v>2696</v>
      </c>
      <c r="C2702" s="2" t="str">
        <f ca="1">IFERROR(__xludf.DUMMYFUNCTION("GOOGLETRANSLATE(B2702, ""bn"", ""en"")"),"Muslims are re-presenting not only piety but also logic in protesting Koran burning, as it is not an expression of opinion, but an expression of extreme hatred and absurdity.")</f>
        <v>Muslims are re-presenting not only piety but also logic in protesting Koran burning, as it is not an expression of opinion, but an expression of extreme hatred and absurdity.</v>
      </c>
      <c r="D2702" s="7"/>
      <c r="E2702" s="7"/>
      <c r="F2702" s="7"/>
      <c r="G2702" s="7"/>
      <c r="H2702" s="7"/>
      <c r="I2702" s="7"/>
      <c r="J2702" s="7"/>
      <c r="K2702" s="7"/>
      <c r="L2702" s="5"/>
      <c r="M2702" s="5"/>
      <c r="N2702" s="5"/>
      <c r="O2702" s="5"/>
      <c r="P2702" s="5"/>
      <c r="Q2702" s="5"/>
      <c r="R2702" s="5"/>
      <c r="S2702" s="5"/>
      <c r="T2702" s="5"/>
      <c r="U2702" s="5"/>
      <c r="V2702" s="5"/>
      <c r="W2702" s="5"/>
      <c r="X2702" s="5"/>
      <c r="Y2702" s="5"/>
      <c r="Z2702" s="5"/>
    </row>
    <row r="2703" spans="1:26" ht="15.6" x14ac:dyDescent="0.3">
      <c r="A2703" s="18" t="s">
        <v>5</v>
      </c>
      <c r="B2703" s="24" t="s">
        <v>2697</v>
      </c>
      <c r="C2703" s="2" t="str">
        <f ca="1">IFERROR(__xludf.DUMMYFUNCTION("GOOGLETRANSLATE(B2703, ""bn"", ""en"")"),"At least 35 people were killed in Jhenaidah Hindu-Muslim clashes. During the clashes there was widespread arson and vandalism.")</f>
        <v>At least 35 people were killed in Jhenaidah Hindu-Muslim clashes. During the clashes there was widespread arson and vandalism.</v>
      </c>
      <c r="D2703" s="5"/>
      <c r="E2703" s="5"/>
      <c r="F2703" s="5"/>
      <c r="G2703" s="5"/>
      <c r="H2703" s="5"/>
      <c r="I2703" s="5"/>
      <c r="J2703" s="5"/>
      <c r="K2703" s="5"/>
      <c r="L2703" s="5"/>
      <c r="M2703" s="5"/>
      <c r="N2703" s="5"/>
      <c r="O2703" s="5"/>
      <c r="P2703" s="5"/>
      <c r="Q2703" s="5"/>
      <c r="R2703" s="5"/>
      <c r="S2703" s="5"/>
      <c r="T2703" s="5"/>
      <c r="U2703" s="5"/>
      <c r="V2703" s="5"/>
      <c r="W2703" s="5"/>
      <c r="X2703" s="5"/>
      <c r="Y2703" s="5"/>
      <c r="Z2703" s="5"/>
    </row>
    <row r="2704" spans="1:26" ht="15.6" x14ac:dyDescent="0.3">
      <c r="A2704" s="18" t="s">
        <v>8</v>
      </c>
      <c r="B2704" s="25" t="s">
        <v>2698</v>
      </c>
      <c r="C2704" s="2" t="str">
        <f ca="1">IFERROR(__xludf.DUMMYFUNCTION("GOOGLETRANSLATE(B2704, ""bn"", ""en"")"),"A particular cabal is conspiring to destroy religious harmony in Bangladesh. They want a Hindu Muslim riot.")</f>
        <v>A particular cabal is conspiring to destroy religious harmony in Bangladesh. They want a Hindu Muslim riot.</v>
      </c>
      <c r="D2704" s="2"/>
      <c r="E2704" s="2"/>
      <c r="F2704" s="2"/>
      <c r="G2704" s="2"/>
      <c r="H2704" s="3"/>
      <c r="I2704" s="3"/>
      <c r="J2704" s="3"/>
      <c r="K2704" s="3"/>
      <c r="L2704" s="3"/>
      <c r="M2704" s="3"/>
      <c r="N2704" s="3"/>
      <c r="O2704" s="3"/>
      <c r="P2704" s="3"/>
      <c r="Q2704" s="3"/>
      <c r="R2704" s="3"/>
      <c r="S2704" s="3"/>
      <c r="T2704" s="3"/>
      <c r="U2704" s="3"/>
      <c r="V2704" s="3"/>
      <c r="W2704" s="3"/>
      <c r="X2704" s="3"/>
      <c r="Y2704" s="3"/>
      <c r="Z2704" s="3"/>
    </row>
    <row r="2705" spans="1:26" ht="15.6" x14ac:dyDescent="0.3">
      <c r="A2705" s="19" t="s">
        <v>23</v>
      </c>
      <c r="B2705" s="26" t="s">
        <v>2699</v>
      </c>
      <c r="C2705" s="2" t="str">
        <f ca="1">IFERROR(__xludf.DUMMYFUNCTION("GOOGLETRANSLATE(B2705, ""bn"", ""en"")"),"Mushfiq was attacked with foul language for uploading the picture of our religious festival Eid Qurbani.")</f>
        <v>Mushfiq was attacked with foul language for uploading the picture of our religious festival Eid Qurbani.</v>
      </c>
      <c r="D2705" s="5"/>
      <c r="E2705" s="5"/>
      <c r="F2705" s="5"/>
      <c r="G2705" s="5"/>
      <c r="H2705" s="5"/>
      <c r="I2705" s="5"/>
      <c r="J2705" s="5"/>
      <c r="K2705" s="5"/>
      <c r="L2705" s="5"/>
      <c r="M2705" s="5"/>
      <c r="N2705" s="5"/>
      <c r="O2705" s="5"/>
      <c r="P2705" s="5"/>
      <c r="Q2705" s="5"/>
      <c r="R2705" s="5"/>
      <c r="S2705" s="5"/>
      <c r="T2705" s="5"/>
      <c r="U2705" s="5"/>
      <c r="V2705" s="5"/>
      <c r="W2705" s="5"/>
      <c r="X2705" s="5"/>
      <c r="Y2705" s="5"/>
      <c r="Z2705" s="5"/>
    </row>
    <row r="2706" spans="1:26" ht="15.6" x14ac:dyDescent="0.3">
      <c r="A2706" s="18" t="s">
        <v>8</v>
      </c>
      <c r="B2706" s="25" t="s">
        <v>2700</v>
      </c>
      <c r="C2706" s="2" t="str">
        <f ca="1">IFERROR(__xludf.DUMMYFUNCTION("GOOGLETRANSLATE(B2706, ""bn"", ""en"")"),"2 police officers killed in Australia were victims of 'religious extremist' attacks")</f>
        <v>2 police officers killed in Australia were victims of 'religious extremist' attacks</v>
      </c>
      <c r="D2706" s="5"/>
      <c r="E2706" s="5"/>
      <c r="F2706" s="5"/>
      <c r="G2706" s="5"/>
      <c r="H2706" s="5"/>
      <c r="I2706" s="5"/>
      <c r="J2706" s="5"/>
      <c r="K2706" s="5"/>
      <c r="L2706" s="5"/>
      <c r="M2706" s="5"/>
      <c r="N2706" s="5"/>
      <c r="O2706" s="5"/>
      <c r="P2706" s="5"/>
      <c r="Q2706" s="5"/>
      <c r="R2706" s="5"/>
      <c r="S2706" s="5"/>
      <c r="T2706" s="5"/>
      <c r="U2706" s="5"/>
      <c r="V2706" s="5"/>
      <c r="W2706" s="5"/>
      <c r="X2706" s="5"/>
      <c r="Y2706" s="5"/>
      <c r="Z2706" s="5"/>
    </row>
    <row r="2707" spans="1:26" ht="15.6" x14ac:dyDescent="0.3">
      <c r="A2707" s="18" t="s">
        <v>23</v>
      </c>
      <c r="B2707" s="25" t="s">
        <v>2701</v>
      </c>
      <c r="C2707" s="2" t="str">
        <f ca="1">IFERROR(__xludf.DUMMYFUNCTION("GOOGLETRANSLATE(B2707, ""bn"", ""en"")"),"If someone makes any bad comments about the Prophet, he should be punished.")</f>
        <v>If someone makes any bad comments about the Prophet, he should be punished.</v>
      </c>
      <c r="D2707" s="2"/>
      <c r="E2707" s="2"/>
      <c r="F2707" s="2"/>
      <c r="G2707" s="2"/>
      <c r="H2707" s="5"/>
      <c r="I2707" s="5"/>
      <c r="J2707" s="5"/>
      <c r="K2707" s="5"/>
      <c r="L2707" s="5"/>
      <c r="M2707" s="5"/>
      <c r="N2707" s="5"/>
      <c r="O2707" s="5"/>
      <c r="P2707" s="5"/>
      <c r="Q2707" s="5"/>
      <c r="R2707" s="5"/>
      <c r="S2707" s="5"/>
      <c r="T2707" s="5"/>
      <c r="U2707" s="5"/>
      <c r="V2707" s="5"/>
      <c r="W2707" s="5"/>
      <c r="X2707" s="5"/>
      <c r="Y2707" s="5"/>
      <c r="Z2707" s="5"/>
    </row>
    <row r="2708" spans="1:26" ht="15.6" x14ac:dyDescent="0.3">
      <c r="A2708" s="18" t="s">
        <v>3</v>
      </c>
      <c r="B2708" s="25" t="s">
        <v>2702</v>
      </c>
      <c r="C2708" s="2" t="str">
        <f ca="1">IFERROR(__xludf.DUMMYFUNCTION("GOOGLETRANSLATE(B2708, ""bn"", ""en"")"),"I believe every word of Buddhism and Gautama Buddha is true which makes our life much easier. Saint, saint, saint. Long live the reign of the Buddha.")</f>
        <v>I believe every word of Buddhism and Gautama Buddha is true which makes our life much easier. Saint, saint, saint. Long live the reign of the Buddha.</v>
      </c>
      <c r="D2708" s="5"/>
      <c r="E2708" s="5"/>
      <c r="F2708" s="5"/>
      <c r="G2708" s="5"/>
      <c r="H2708" s="5"/>
      <c r="I2708" s="5"/>
      <c r="J2708" s="5"/>
      <c r="K2708" s="5"/>
      <c r="L2708" s="5"/>
      <c r="M2708" s="5"/>
      <c r="N2708" s="5"/>
      <c r="O2708" s="5"/>
      <c r="P2708" s="5"/>
      <c r="Q2708" s="5"/>
      <c r="R2708" s="5"/>
      <c r="S2708" s="5"/>
      <c r="T2708" s="5"/>
      <c r="U2708" s="5"/>
      <c r="V2708" s="5"/>
      <c r="W2708" s="5"/>
      <c r="X2708" s="5"/>
      <c r="Y2708" s="5"/>
      <c r="Z2708" s="5"/>
    </row>
    <row r="2709" spans="1:26" ht="15.6" x14ac:dyDescent="0.3">
      <c r="A2709" s="18" t="s">
        <v>23</v>
      </c>
      <c r="B2709" s="25" t="s">
        <v>2703</v>
      </c>
      <c r="C2709" s="2" t="str">
        <f ca="1">IFERROR(__xludf.DUMMYFUNCTION("GOOGLETRANSLATE(B2709, ""bn"", ""en"")"),"Kalprit people are trying to question and suppress Islam by making billions of conspiracies against Islam so that they can create problems in the area against Islam.")</f>
        <v>Kalprit people are trying to question and suppress Islam by making billions of conspiracies against Islam so that they can create problems in the area against Islam.</v>
      </c>
      <c r="D2709" s="5"/>
      <c r="E2709" s="5"/>
      <c r="F2709" s="5"/>
      <c r="G2709" s="5"/>
      <c r="H2709" s="5"/>
      <c r="I2709" s="5"/>
      <c r="J2709" s="5"/>
      <c r="K2709" s="5"/>
      <c r="L2709" s="5"/>
      <c r="M2709" s="5"/>
      <c r="N2709" s="5"/>
      <c r="O2709" s="5"/>
      <c r="P2709" s="5"/>
      <c r="Q2709" s="5"/>
      <c r="R2709" s="5"/>
      <c r="S2709" s="5"/>
      <c r="T2709" s="5"/>
      <c r="U2709" s="5"/>
      <c r="V2709" s="5"/>
      <c r="W2709" s="5"/>
      <c r="X2709" s="5"/>
      <c r="Y2709" s="5"/>
      <c r="Z2709" s="5"/>
    </row>
    <row r="2710" spans="1:26" ht="15.6" x14ac:dyDescent="0.3">
      <c r="A2710" s="18" t="s">
        <v>23</v>
      </c>
      <c r="B2710" s="25" t="s">
        <v>2704</v>
      </c>
      <c r="C2710" s="2" t="str">
        <f ca="1">IFERROR(__xludf.DUMMYFUNCTION("GOOGLETRANSLATE(B2710, ""bn"", ""en"")"),"Al-Qur'an has repeatedly proved the truth, yet the disbelievers live in false religion like the blind, they are nothing but followers of Satan.")</f>
        <v>Al-Qur'an has repeatedly proved the truth, yet the disbelievers live in false religion like the blind, they are nothing but followers of Satan.</v>
      </c>
      <c r="D2710" s="5"/>
      <c r="E2710" s="5"/>
      <c r="F2710" s="5"/>
      <c r="G2710" s="5"/>
      <c r="H2710" s="5"/>
      <c r="I2710" s="5"/>
      <c r="J2710" s="5"/>
      <c r="K2710" s="5"/>
      <c r="L2710" s="5"/>
      <c r="M2710" s="5"/>
      <c r="N2710" s="5"/>
      <c r="O2710" s="5"/>
      <c r="P2710" s="5"/>
      <c r="Q2710" s="5"/>
      <c r="R2710" s="5"/>
      <c r="S2710" s="5"/>
      <c r="T2710" s="5"/>
      <c r="U2710" s="5"/>
      <c r="V2710" s="5"/>
      <c r="W2710" s="5"/>
      <c r="X2710" s="5"/>
      <c r="Y2710" s="5"/>
      <c r="Z2710" s="5"/>
    </row>
    <row r="2711" spans="1:26" ht="15.6" x14ac:dyDescent="0.3">
      <c r="A2711" s="19" t="s">
        <v>23</v>
      </c>
      <c r="B2711" s="26" t="s">
        <v>2705</v>
      </c>
      <c r="C2711" s="2" t="str">
        <f ca="1">IFERROR(__xludf.DUMMYFUNCTION("GOOGLETRANSLATE(B2711, ""bn"", ""en"")"),"The sarcastic poem is said in Madinah about the wives of Habaye Keram (R.A.).")</f>
        <v>The sarcastic poem is said in Madinah about the wives of Habaye Keram (R.A.).</v>
      </c>
      <c r="D2711" s="5"/>
      <c r="E2711" s="5"/>
      <c r="F2711" s="5"/>
      <c r="G2711" s="5"/>
      <c r="H2711" s="5"/>
      <c r="I2711" s="5"/>
      <c r="J2711" s="5"/>
      <c r="K2711" s="5"/>
      <c r="L2711" s="5"/>
      <c r="M2711" s="5"/>
      <c r="N2711" s="5"/>
      <c r="O2711" s="5"/>
      <c r="P2711" s="5"/>
      <c r="Q2711" s="5"/>
      <c r="R2711" s="5"/>
      <c r="S2711" s="5"/>
      <c r="T2711" s="5"/>
      <c r="U2711" s="5"/>
      <c r="V2711" s="5"/>
      <c r="W2711" s="5"/>
      <c r="X2711" s="5"/>
      <c r="Y2711" s="5"/>
      <c r="Z2711" s="5"/>
    </row>
    <row r="2712" spans="1:26" ht="15.6" x14ac:dyDescent="0.3">
      <c r="A2712" s="18" t="s">
        <v>3</v>
      </c>
      <c r="B2712" s="25" t="s">
        <v>2706</v>
      </c>
      <c r="C2712" s="2" t="str">
        <f ca="1">IFERROR(__xludf.DUMMYFUNCTION("GOOGLETRANSLATE(B2712, ""bn"", ""en"")"),"If you don't enter Jannah, you don't understand what Jannah is like. Paradise is so beautiful that just seeing it makes you want to see more. Once you see it, it seems that you are just waiting, even if you wait for 24 minutes, it will feel like time is r"&amp;"unning out. When you see it, you want to keep watching. How long can I wait, I can't stay!")</f>
        <v>If you don't enter Jannah, you don't understand what Jannah is like. Paradise is so beautiful that just seeing it makes you want to see more. Once you see it, it seems that you are just waiting, even if you wait for 24 minutes, it will feel like time is running out. When you see it, you want to keep watching. How long can I wait, I can't stay!</v>
      </c>
      <c r="D2712" s="7"/>
      <c r="E2712" s="7"/>
      <c r="F2712" s="7"/>
      <c r="G2712" s="5"/>
      <c r="H2712" s="5"/>
      <c r="I2712" s="5"/>
      <c r="J2712" s="5"/>
      <c r="K2712" s="5"/>
      <c r="L2712" s="5"/>
      <c r="M2712" s="5"/>
      <c r="N2712" s="5"/>
      <c r="O2712" s="5"/>
      <c r="P2712" s="5"/>
      <c r="Q2712" s="5"/>
      <c r="R2712" s="5"/>
      <c r="S2712" s="5"/>
      <c r="T2712" s="5"/>
      <c r="U2712" s="5"/>
      <c r="V2712" s="5"/>
      <c r="W2712" s="5"/>
      <c r="X2712" s="5"/>
      <c r="Y2712" s="5"/>
      <c r="Z2712" s="5"/>
    </row>
    <row r="2713" spans="1:26" ht="15.6" x14ac:dyDescent="0.3">
      <c r="A2713" s="19" t="s">
        <v>5</v>
      </c>
      <c r="B2713" s="26" t="s">
        <v>2707</v>
      </c>
      <c r="C2713" s="2" t="str">
        <f ca="1">IFERROR(__xludf.DUMMYFUNCTION("GOOGLETRANSLATE(B2713, ""bn"", ""en"")"),"The Madurai Nayak dynasty (1520–1736) widely followed the practice of sati-immolation. In 1609, after the death of hero Muttu Krishnappa, 400 women were burnt.")</f>
        <v>The Madurai Nayak dynasty (1520–1736) widely followed the practice of sati-immolation. In 1609, after the death of hero Muttu Krishnappa, 400 women were burnt.</v>
      </c>
      <c r="D2713" s="7"/>
      <c r="E2713" s="7"/>
      <c r="F2713" s="7"/>
      <c r="G2713" s="7"/>
      <c r="H2713" s="7"/>
      <c r="I2713" s="7"/>
      <c r="J2713" s="7"/>
      <c r="K2713" s="7"/>
      <c r="L2713" s="7"/>
      <c r="M2713" s="7"/>
      <c r="N2713" s="5"/>
      <c r="O2713" s="5"/>
      <c r="P2713" s="5"/>
      <c r="Q2713" s="5"/>
      <c r="R2713" s="5"/>
      <c r="S2713" s="5"/>
      <c r="T2713" s="5"/>
      <c r="U2713" s="5"/>
      <c r="V2713" s="5"/>
      <c r="W2713" s="5"/>
      <c r="X2713" s="5"/>
      <c r="Y2713" s="5"/>
      <c r="Z2713" s="5"/>
    </row>
    <row r="2714" spans="1:26" ht="15.6" x14ac:dyDescent="0.3">
      <c r="A2714" s="19" t="s">
        <v>5</v>
      </c>
      <c r="B2714" s="26" t="s">
        <v>2708</v>
      </c>
      <c r="C2714" s="2" t="str">
        <f ca="1">IFERROR(__xludf.DUMMYFUNCTION("GOOGLETRANSLATE(B2714, ""bn"", ""en"")"),"In early November, a senior ICS officer and his police force were attacked three times by Muslim armed forces while trying to protect stricken Hindus in a camp. 7 people were killed and 10 injured when the police started firing.")</f>
        <v>In early November, a senior ICS officer and his police force were attacked three times by Muslim armed forces while trying to protect stricken Hindus in a camp. 7 people were killed and 10 injured when the police started firing.</v>
      </c>
      <c r="D2714" s="7"/>
      <c r="E2714" s="7"/>
      <c r="F2714" s="7"/>
      <c r="G2714" s="7"/>
      <c r="H2714" s="7"/>
      <c r="I2714" s="7"/>
      <c r="J2714" s="7"/>
      <c r="K2714" s="7"/>
      <c r="L2714" s="7"/>
      <c r="M2714" s="7"/>
      <c r="N2714" s="7"/>
      <c r="O2714" s="7"/>
      <c r="P2714" s="7"/>
      <c r="Q2714" s="7"/>
      <c r="R2714" s="7"/>
      <c r="S2714" s="7"/>
      <c r="T2714" s="7"/>
      <c r="U2714" s="7"/>
      <c r="V2714" s="5"/>
      <c r="W2714" s="5"/>
      <c r="X2714" s="5"/>
      <c r="Y2714" s="5"/>
      <c r="Z2714" s="5"/>
    </row>
    <row r="2715" spans="1:26" ht="15.6" x14ac:dyDescent="0.3">
      <c r="A2715" s="18" t="s">
        <v>8</v>
      </c>
      <c r="B2715" s="24" t="s">
        <v>2709</v>
      </c>
      <c r="C2715" s="2" t="str">
        <f ca="1">IFERROR(__xludf.DUMMYFUNCTION("GOOGLETRANSLATE(B2715, ""bn"", ""en"")"),"3 September 2023 A group of local extremists tore out the eyes and nose of the Durga idol at Kalkini in Madaripur.")</f>
        <v>3 September 2023 A group of local extremists tore out the eyes and nose of the Durga idol at Kalkini in Madaripur.</v>
      </c>
      <c r="D2715" s="5"/>
      <c r="E2715" s="5"/>
      <c r="F2715" s="5"/>
      <c r="G2715" s="5"/>
      <c r="H2715" s="5"/>
      <c r="I2715" s="5"/>
      <c r="J2715" s="5"/>
      <c r="K2715" s="5"/>
      <c r="L2715" s="5"/>
      <c r="M2715" s="5"/>
      <c r="N2715" s="5"/>
      <c r="O2715" s="5"/>
      <c r="P2715" s="5"/>
      <c r="Q2715" s="5"/>
      <c r="R2715" s="5"/>
      <c r="S2715" s="5"/>
      <c r="T2715" s="5"/>
      <c r="U2715" s="5"/>
      <c r="V2715" s="5"/>
      <c r="W2715" s="5"/>
      <c r="X2715" s="5"/>
      <c r="Y2715" s="5"/>
      <c r="Z2715" s="5"/>
    </row>
    <row r="2716" spans="1:26" ht="15.6" x14ac:dyDescent="0.3">
      <c r="A2716" s="18" t="s">
        <v>3</v>
      </c>
      <c r="B2716" s="25" t="s">
        <v>2710</v>
      </c>
      <c r="C2716" s="2" t="str">
        <f ca="1">IFERROR(__xludf.DUMMYFUNCTION("GOOGLETRANSLATE(B2716, ""bn"", ""en"")"),"According to an international human rights organization in 2009, about 80 percent of the world's victims of religious persecution were Christians, which indicates the importance of raising awareness of religious freedom.")</f>
        <v>According to an international human rights organization in 2009, about 80 percent of the world's victims of religious persecution were Christians, which indicates the importance of raising awareness of religious freedom.</v>
      </c>
      <c r="D2716" s="5"/>
      <c r="E2716" s="5"/>
      <c r="F2716" s="5"/>
      <c r="G2716" s="5"/>
      <c r="H2716" s="5"/>
      <c r="I2716" s="5"/>
      <c r="J2716" s="5"/>
      <c r="K2716" s="5"/>
      <c r="L2716" s="5"/>
      <c r="M2716" s="5"/>
      <c r="N2716" s="5"/>
      <c r="O2716" s="5"/>
      <c r="P2716" s="5"/>
      <c r="Q2716" s="5"/>
      <c r="R2716" s="5"/>
      <c r="S2716" s="5"/>
      <c r="T2716" s="5"/>
      <c r="U2716" s="5"/>
      <c r="V2716" s="5"/>
      <c r="W2716" s="5"/>
      <c r="X2716" s="5"/>
      <c r="Y2716" s="5"/>
      <c r="Z2716" s="5"/>
    </row>
    <row r="2717" spans="1:26" ht="15.6" x14ac:dyDescent="0.3">
      <c r="A2717" s="18" t="s">
        <v>5</v>
      </c>
      <c r="B2717" s="24" t="s">
        <v>2711</v>
      </c>
      <c r="C2717" s="2" t="str">
        <f ca="1">IFERROR(__xludf.DUMMYFUNCTION("GOOGLETRANSLATE(B2717, ""bn"", ""en"")"),"In January 2019, a journalist was killed in an inter-religious conflict; 15 people were killed during the protest.")</f>
        <v>In January 2019, a journalist was killed in an inter-religious conflict; 15 people were killed during the protest.</v>
      </c>
      <c r="D2717" s="5"/>
      <c r="E2717" s="5"/>
      <c r="F2717" s="5"/>
      <c r="G2717" s="5"/>
      <c r="H2717" s="5"/>
      <c r="I2717" s="5"/>
      <c r="J2717" s="5"/>
      <c r="K2717" s="5"/>
      <c r="L2717" s="5"/>
      <c r="M2717" s="5"/>
      <c r="N2717" s="5"/>
      <c r="O2717" s="5"/>
      <c r="P2717" s="5"/>
      <c r="Q2717" s="5"/>
      <c r="R2717" s="5"/>
      <c r="S2717" s="5"/>
      <c r="T2717" s="5"/>
      <c r="U2717" s="5"/>
      <c r="V2717" s="5"/>
      <c r="W2717" s="5"/>
      <c r="X2717" s="5"/>
      <c r="Y2717" s="5"/>
      <c r="Z2717" s="5"/>
    </row>
    <row r="2718" spans="1:26" ht="15.6" x14ac:dyDescent="0.3">
      <c r="A2718" s="18" t="s">
        <v>23</v>
      </c>
      <c r="B2718" s="25" t="s">
        <v>2712</v>
      </c>
      <c r="C2718" s="2" t="str">
        <f ca="1">IFERROR(__xludf.DUMMYFUNCTION("GOOGLETRANSLATE(B2718, ""bn"", ""en"")"),"Where was the freedom of religion then. But now they are turning the country upside down with a few comments. The problem of the so-called non-sectarian civils is actually in Islam. In the country of 90% Muslims, you cannot directly say this")</f>
        <v>Where was the freedom of religion then. But now they are turning the country upside down with a few comments. The problem of the so-called non-sectarian civils is actually in Islam. In the country of 90% Muslims, you cannot directly say this</v>
      </c>
      <c r="D2718" s="5"/>
      <c r="E2718" s="5"/>
      <c r="F2718" s="5"/>
      <c r="G2718" s="5"/>
      <c r="H2718" s="5"/>
      <c r="I2718" s="5"/>
      <c r="J2718" s="5"/>
      <c r="K2718" s="5"/>
      <c r="L2718" s="5"/>
      <c r="M2718" s="5"/>
      <c r="N2718" s="5"/>
      <c r="O2718" s="5"/>
      <c r="P2718" s="5"/>
      <c r="Q2718" s="5"/>
      <c r="R2718" s="5"/>
      <c r="S2718" s="5"/>
      <c r="T2718" s="5"/>
      <c r="U2718" s="5"/>
      <c r="V2718" s="5"/>
      <c r="W2718" s="5"/>
      <c r="X2718" s="5"/>
      <c r="Y2718" s="5"/>
      <c r="Z2718" s="5"/>
    </row>
    <row r="2719" spans="1:26" ht="15.6" x14ac:dyDescent="0.3">
      <c r="A2719" s="18" t="s">
        <v>5</v>
      </c>
      <c r="B2719" s="25" t="s">
        <v>2713</v>
      </c>
      <c r="C2719" s="2" t="str">
        <f ca="1">IFERROR(__xludf.DUMMYFUNCTION("GOOGLETRANSLATE(B2719, ""bn"", ""en"")"),"Listen to waz, how many kinds of words do you think? Tells people to kill, says nonsense. Did you notice the spread of violence? Why do you have to listen to religion? Follow the religion yourself.")</f>
        <v>Listen to waz, how many kinds of words do you think? Tells people to kill, says nonsense. Did you notice the spread of violence? Why do you have to listen to religion? Follow the religion yourself.</v>
      </c>
      <c r="D2719" s="5"/>
      <c r="E2719" s="5"/>
      <c r="F2719" s="5"/>
      <c r="G2719" s="5"/>
      <c r="H2719" s="5"/>
      <c r="I2719" s="5"/>
      <c r="J2719" s="5"/>
      <c r="K2719" s="5"/>
      <c r="L2719" s="5"/>
      <c r="M2719" s="5"/>
      <c r="N2719" s="5"/>
      <c r="O2719" s="5"/>
      <c r="P2719" s="5"/>
      <c r="Q2719" s="5"/>
      <c r="R2719" s="5"/>
      <c r="S2719" s="5"/>
      <c r="T2719" s="5"/>
      <c r="U2719" s="5"/>
      <c r="V2719" s="5"/>
      <c r="W2719" s="5"/>
      <c r="X2719" s="5"/>
      <c r="Y2719" s="5"/>
      <c r="Z2719" s="5"/>
    </row>
    <row r="2720" spans="1:26" ht="15.6" x14ac:dyDescent="0.3">
      <c r="A2720" s="18" t="s">
        <v>8</v>
      </c>
      <c r="B2720" s="24" t="s">
        <v>2714</v>
      </c>
      <c r="C2720" s="2" t="str">
        <f ca="1">IFERROR(__xludf.DUMMYFUNCTION("GOOGLETRANSLATE(B2720, ""bn"", ""en"")"),"On January 25, 2023 miscreants vandalized the newly constructed Vishnu temple at Bhandaria in Pirojpur a day before its installation.")</f>
        <v>On January 25, 2023 miscreants vandalized the newly constructed Vishnu temple at Bhandaria in Pirojpur a day before its installation.</v>
      </c>
      <c r="D2720" s="5"/>
      <c r="E2720" s="5"/>
      <c r="F2720" s="5"/>
      <c r="G2720" s="5"/>
      <c r="H2720" s="5"/>
      <c r="I2720" s="5"/>
      <c r="J2720" s="5"/>
      <c r="K2720" s="5"/>
      <c r="L2720" s="5"/>
      <c r="M2720" s="5"/>
      <c r="N2720" s="5"/>
      <c r="O2720" s="5"/>
      <c r="P2720" s="5"/>
      <c r="Q2720" s="5"/>
      <c r="R2720" s="5"/>
      <c r="S2720" s="5"/>
      <c r="T2720" s="5"/>
      <c r="U2720" s="5"/>
      <c r="V2720" s="5"/>
      <c r="W2720" s="5"/>
      <c r="X2720" s="5"/>
      <c r="Y2720" s="5"/>
      <c r="Z2720" s="5"/>
    </row>
    <row r="2721" spans="1:26" ht="15.6" x14ac:dyDescent="0.3">
      <c r="A2721" s="18" t="s">
        <v>23</v>
      </c>
      <c r="B2721" s="25" t="s">
        <v>2715</v>
      </c>
      <c r="C2721" s="2" t="str">
        <f ca="1">IFERROR(__xludf.DUMMYFUNCTION("GOOGLETRANSLATE(B2721, ""bn"", ""en"")"),"I'm not content with just ignoring posts that are controversial about religion, but I've also started removing the post donor from the friend list.")</f>
        <v>I'm not content with just ignoring posts that are controversial about religion, but I've also started removing the post donor from the friend list.</v>
      </c>
      <c r="D2721" s="5"/>
      <c r="E2721" s="5"/>
      <c r="F2721" s="5"/>
      <c r="G2721" s="5"/>
      <c r="H2721" s="5"/>
      <c r="I2721" s="5"/>
      <c r="J2721" s="5"/>
      <c r="K2721" s="5"/>
      <c r="L2721" s="5"/>
      <c r="M2721" s="5"/>
      <c r="N2721" s="5"/>
      <c r="O2721" s="5"/>
      <c r="P2721" s="5"/>
      <c r="Q2721" s="5"/>
      <c r="R2721" s="5"/>
      <c r="S2721" s="5"/>
      <c r="T2721" s="5"/>
      <c r="U2721" s="5"/>
      <c r="V2721" s="5"/>
      <c r="W2721" s="5"/>
      <c r="X2721" s="5"/>
      <c r="Y2721" s="5"/>
      <c r="Z2721" s="5"/>
    </row>
    <row r="2722" spans="1:26" ht="15.6" x14ac:dyDescent="0.3">
      <c r="A2722" s="18" t="s">
        <v>5</v>
      </c>
      <c r="B2722" s="24" t="s">
        <v>2716</v>
      </c>
      <c r="C2722" s="2" t="str">
        <f ca="1">IFERROR(__xludf.DUMMYFUNCTION("GOOGLETRANSLATE(B2722, ""bn"", ""en"")"),"In Shariatpur, at least 40 people were killed in an attack on a minority community due to religious extremism.")</f>
        <v>In Shariatpur, at least 40 people were killed in an attack on a minority community due to religious extremism.</v>
      </c>
      <c r="D2722" s="5"/>
      <c r="E2722" s="5"/>
      <c r="F2722" s="5"/>
      <c r="G2722" s="5"/>
      <c r="H2722" s="5"/>
      <c r="I2722" s="5"/>
      <c r="J2722" s="5"/>
      <c r="K2722" s="5"/>
      <c r="L2722" s="5"/>
      <c r="M2722" s="5"/>
      <c r="N2722" s="5"/>
      <c r="O2722" s="5"/>
      <c r="P2722" s="5"/>
      <c r="Q2722" s="5"/>
      <c r="R2722" s="5"/>
      <c r="S2722" s="5"/>
      <c r="T2722" s="5"/>
      <c r="U2722" s="5"/>
      <c r="V2722" s="5"/>
      <c r="W2722" s="5"/>
      <c r="X2722" s="5"/>
      <c r="Y2722" s="5"/>
      <c r="Z2722" s="5"/>
    </row>
    <row r="2723" spans="1:26" ht="15.6" x14ac:dyDescent="0.3">
      <c r="A2723" s="18" t="s">
        <v>8</v>
      </c>
      <c r="B2723" s="25" t="s">
        <v>2717</v>
      </c>
      <c r="C2723" s="2" t="str">
        <f ca="1">IFERROR(__xludf.DUMMYFUNCTION("GOOGLETRANSLATE(B2723, ""bn"", ""en"")"),"The attack was carried out on 30 October 2016 by a Hindu jailer, Rasraj Das, who allegedly posted anti-Islam posts. 19 temples were attacked")</f>
        <v>The attack was carried out on 30 October 2016 by a Hindu jailer, Rasraj Das, who allegedly posted anti-Islam posts. 19 temples were attacked</v>
      </c>
      <c r="D2723" s="5"/>
      <c r="E2723" s="5"/>
      <c r="F2723" s="5"/>
      <c r="G2723" s="5"/>
      <c r="H2723" s="5"/>
      <c r="I2723" s="5"/>
      <c r="J2723" s="5"/>
      <c r="K2723" s="5"/>
      <c r="L2723" s="5"/>
      <c r="M2723" s="5"/>
      <c r="N2723" s="5"/>
      <c r="O2723" s="5"/>
      <c r="P2723" s="5"/>
      <c r="Q2723" s="5"/>
      <c r="R2723" s="5"/>
      <c r="S2723" s="5"/>
      <c r="T2723" s="5"/>
      <c r="U2723" s="5"/>
      <c r="V2723" s="5"/>
      <c r="W2723" s="5"/>
      <c r="X2723" s="5"/>
      <c r="Y2723" s="5"/>
      <c r="Z2723" s="5"/>
    </row>
    <row r="2724" spans="1:26" ht="15.6" x14ac:dyDescent="0.3">
      <c r="A2724" s="19" t="s">
        <v>3</v>
      </c>
      <c r="B2724" s="26" t="s">
        <v>2718</v>
      </c>
      <c r="C2724" s="2" t="str">
        <f ca="1">IFERROR(__xludf.DUMMYFUNCTION("GOOGLETRANSLATE(B2724, ""bn"", ""en"")"),"Religious education should be accessible to all—applicable to all, young and old. If you also present like this, more people will benefit. Hope no one misunderstands.")</f>
        <v>Religious education should be accessible to all—applicable to all, young and old. If you also present like this, more people will benefit. Hope no one misunderstands.</v>
      </c>
      <c r="D2724" s="7"/>
      <c r="E2724" s="7"/>
      <c r="F2724" s="7"/>
      <c r="G2724" s="7"/>
      <c r="H2724" s="7"/>
      <c r="I2724" s="7"/>
      <c r="J2724" s="7"/>
      <c r="K2724" s="7"/>
      <c r="L2724" s="7"/>
      <c r="M2724" s="7"/>
      <c r="N2724" s="5"/>
      <c r="O2724" s="5"/>
      <c r="P2724" s="5"/>
      <c r="Q2724" s="5"/>
      <c r="R2724" s="5"/>
      <c r="S2724" s="5"/>
      <c r="T2724" s="5"/>
      <c r="U2724" s="5"/>
      <c r="V2724" s="5"/>
      <c r="W2724" s="5"/>
      <c r="X2724" s="5"/>
      <c r="Y2724" s="5"/>
      <c r="Z2724" s="5"/>
    </row>
    <row r="2725" spans="1:26" ht="15.6" x14ac:dyDescent="0.3">
      <c r="A2725" s="18" t="s">
        <v>3</v>
      </c>
      <c r="B2725" s="25" t="s">
        <v>2719</v>
      </c>
      <c r="C2725" s="2" t="str">
        <f ca="1">IFERROR(__xludf.DUMMYFUNCTION("GOOGLETRANSLATE(B2725, ""bn"", ""en"")"),"Allah commands mankind in the Qur'an to show honesty, purity, and compassion towards each other, which helps to establish peace in the society.")</f>
        <v>Allah commands mankind in the Qur'an to show honesty, purity, and compassion towards each other, which helps to establish peace in the society.</v>
      </c>
      <c r="D2725" s="2"/>
      <c r="E2725" s="2"/>
      <c r="F2725" s="2"/>
      <c r="G2725" s="2"/>
      <c r="H2725" s="3"/>
      <c r="I2725" s="3"/>
      <c r="J2725" s="3"/>
      <c r="K2725" s="3"/>
      <c r="L2725" s="3"/>
      <c r="M2725" s="3"/>
      <c r="N2725" s="3"/>
      <c r="O2725" s="3"/>
      <c r="P2725" s="3"/>
      <c r="Q2725" s="3"/>
      <c r="R2725" s="3"/>
      <c r="S2725" s="3"/>
      <c r="T2725" s="3"/>
      <c r="U2725" s="3"/>
      <c r="V2725" s="3"/>
      <c r="W2725" s="3"/>
      <c r="X2725" s="3"/>
      <c r="Y2725" s="3"/>
      <c r="Z2725" s="3"/>
    </row>
    <row r="2726" spans="1:26" ht="15.6" x14ac:dyDescent="0.3">
      <c r="A2726" s="18" t="s">
        <v>5</v>
      </c>
      <c r="B2726" s="25" t="s">
        <v>2720</v>
      </c>
      <c r="C2726" s="2" t="str">
        <f ca="1">IFERROR(__xludf.DUMMYFUNCTION("GOOGLETRANSLATE(B2726, ""bn"", ""en"")"),"While such killings and rampages were going on against the Hindus, the Ramana Kali Temple and Mother Anandamoyi's Ashram were burning fiercely.")</f>
        <v>While such killings and rampages were going on against the Hindus, the Ramana Kali Temple and Mother Anandamoyi's Ashram were burning fiercely.</v>
      </c>
      <c r="D2726" s="5"/>
      <c r="E2726" s="5"/>
      <c r="F2726" s="5"/>
      <c r="G2726" s="5"/>
      <c r="H2726" s="5"/>
      <c r="I2726" s="5"/>
      <c r="J2726" s="5"/>
      <c r="K2726" s="5"/>
      <c r="L2726" s="5"/>
      <c r="M2726" s="5"/>
      <c r="N2726" s="5"/>
      <c r="O2726" s="5"/>
      <c r="P2726" s="5"/>
      <c r="Q2726" s="5"/>
      <c r="R2726" s="5"/>
      <c r="S2726" s="5"/>
      <c r="T2726" s="5"/>
      <c r="U2726" s="5"/>
      <c r="V2726" s="5"/>
      <c r="W2726" s="5"/>
      <c r="X2726" s="5"/>
      <c r="Y2726" s="5"/>
      <c r="Z2726" s="5"/>
    </row>
    <row r="2727" spans="1:26" ht="15.6" x14ac:dyDescent="0.3">
      <c r="A2727" s="19" t="s">
        <v>5</v>
      </c>
      <c r="B2727" s="26" t="s">
        <v>2721</v>
      </c>
      <c r="C2727" s="2" t="str">
        <f ca="1">IFERROR(__xludf.DUMMYFUNCTION("GOOGLETRANSLATE(B2727, ""bn"", ""en"")"),"Under the blasphemy law, those who insult Islam are punished severely, including the death penalty.")</f>
        <v>Under the blasphemy law, those who insult Islam are punished severely, including the death penalty.</v>
      </c>
      <c r="D2727" s="5"/>
      <c r="E2727" s="5"/>
      <c r="F2727" s="5"/>
      <c r="G2727" s="5"/>
      <c r="H2727" s="5"/>
      <c r="I2727" s="5"/>
      <c r="J2727" s="5"/>
      <c r="K2727" s="5"/>
      <c r="L2727" s="5"/>
      <c r="M2727" s="5"/>
      <c r="N2727" s="5"/>
      <c r="O2727" s="5"/>
      <c r="P2727" s="5"/>
      <c r="Q2727" s="5"/>
      <c r="R2727" s="5"/>
      <c r="S2727" s="5"/>
      <c r="T2727" s="5"/>
      <c r="U2727" s="5"/>
      <c r="V2727" s="5"/>
      <c r="W2727" s="5"/>
      <c r="X2727" s="5"/>
      <c r="Y2727" s="5"/>
      <c r="Z2727" s="5"/>
    </row>
    <row r="2728" spans="1:26" ht="15.6" x14ac:dyDescent="0.3">
      <c r="A2728" s="18" t="s">
        <v>3</v>
      </c>
      <c r="B2728" s="25" t="s">
        <v>2722</v>
      </c>
      <c r="C2728" s="2" t="str">
        <f ca="1">IFERROR(__xludf.DUMMYFUNCTION("GOOGLETRANSLATE(B2728, ""bn"", ""en"")"),"In spite of all the incompetence and backwardness, the Muslim nation is still the object of jealousy and hatred of the West because of the wealth that is the word of Allah and the religion of Islam.")</f>
        <v>In spite of all the incompetence and backwardness, the Muslim nation is still the object of jealousy and hatred of the West because of the wealth that is the word of Allah and the religion of Islam.</v>
      </c>
      <c r="D2728" s="5"/>
      <c r="E2728" s="5"/>
      <c r="F2728" s="5"/>
      <c r="G2728" s="5"/>
      <c r="H2728" s="5"/>
      <c r="I2728" s="5"/>
      <c r="J2728" s="5"/>
      <c r="K2728" s="5"/>
      <c r="L2728" s="5"/>
      <c r="M2728" s="5"/>
      <c r="N2728" s="5"/>
      <c r="O2728" s="5"/>
      <c r="P2728" s="5"/>
      <c r="Q2728" s="5"/>
      <c r="R2728" s="5"/>
      <c r="S2728" s="5"/>
      <c r="T2728" s="5"/>
      <c r="U2728" s="5"/>
      <c r="V2728" s="5"/>
      <c r="W2728" s="5"/>
      <c r="X2728" s="5"/>
      <c r="Y2728" s="5"/>
      <c r="Z2728" s="5"/>
    </row>
    <row r="2729" spans="1:26" ht="15.6" x14ac:dyDescent="0.3">
      <c r="A2729" s="18" t="s">
        <v>23</v>
      </c>
      <c r="B2729" s="25" t="s">
        <v>2723</v>
      </c>
      <c r="C2729" s="2" t="str">
        <f ca="1">IFERROR(__xludf.DUMMYFUNCTION("GOOGLETRANSLATE(B2729, ""bn"", ""en"")"),"The employees and officials of the Secretariat immediately took out a march calling for a strike, from which anti-Hindu slogans were raised. They marched towards Nawabpur and many others joined the procession.")</f>
        <v>The employees and officials of the Secretariat immediately took out a march calling for a strike, from which anti-Hindu slogans were raised. They marched towards Nawabpur and many others joined the procession.</v>
      </c>
      <c r="D2729" s="6"/>
      <c r="E2729" s="6"/>
      <c r="F2729" s="6"/>
      <c r="G2729" s="2"/>
      <c r="H2729" s="5"/>
      <c r="I2729" s="5"/>
      <c r="J2729" s="5"/>
      <c r="K2729" s="5"/>
      <c r="L2729" s="5"/>
      <c r="M2729" s="5"/>
      <c r="N2729" s="5"/>
      <c r="O2729" s="5"/>
      <c r="P2729" s="5"/>
      <c r="Q2729" s="5"/>
      <c r="R2729" s="5"/>
      <c r="S2729" s="5"/>
      <c r="T2729" s="5"/>
      <c r="U2729" s="5"/>
      <c r="V2729" s="5"/>
      <c r="W2729" s="5"/>
      <c r="X2729" s="5"/>
      <c r="Y2729" s="5"/>
      <c r="Z2729" s="5"/>
    </row>
    <row r="2730" spans="1:26" ht="15.6" x14ac:dyDescent="0.3">
      <c r="A2730" s="19" t="s">
        <v>5</v>
      </c>
      <c r="B2730" s="26" t="s">
        <v>2724</v>
      </c>
      <c r="C2730" s="2" t="str">
        <f ca="1">IFERROR(__xludf.DUMMYFUNCTION("GOOGLETRANSLATE(B2730, ""bn"", ""en"")"),"F.M.E. Schools, Public Library, Vivekananda Physical Club, Hiralal Lohia Charitable Hospital and many other institutions were burnt to ashes by Muslims. They came and they were buried directly from there. In this way hundreds of dead bodies of Hindus were"&amp;" lost by the army. Even those bodies that were identified were lost without handing over to their families. Drop them.")</f>
        <v>F.M.E. Schools, Public Library, Vivekananda Physical Club, Hiralal Lohia Charitable Hospital and many other institutions were burnt to ashes by Muslims. They came and they were buried directly from there. In this way hundreds of dead bodies of Hindus were lost by the army. Even those bodies that were identified were lost without handing over to their families. Drop them.</v>
      </c>
      <c r="D2730" s="7"/>
      <c r="E2730" s="7"/>
      <c r="F2730" s="7"/>
      <c r="G2730" s="7"/>
      <c r="H2730" s="7"/>
      <c r="I2730" s="7"/>
      <c r="J2730" s="7"/>
      <c r="K2730" s="7"/>
      <c r="L2730" s="7"/>
      <c r="M2730" s="7"/>
      <c r="N2730" s="7"/>
      <c r="O2730" s="7"/>
      <c r="P2730" s="7"/>
      <c r="Q2730" s="7"/>
      <c r="R2730" s="7"/>
      <c r="S2730" s="7"/>
      <c r="T2730" s="7"/>
      <c r="U2730" s="7"/>
      <c r="V2730" s="7"/>
      <c r="W2730" s="7"/>
      <c r="X2730" s="7"/>
      <c r="Y2730" s="7"/>
      <c r="Z2730" s="7"/>
    </row>
    <row r="2731" spans="1:26" ht="15.6" x14ac:dyDescent="0.3">
      <c r="A2731" s="18" t="s">
        <v>23</v>
      </c>
      <c r="B2731" s="25" t="s">
        <v>2725</v>
      </c>
      <c r="C2731" s="2" t="str">
        <f ca="1">IFERROR(__xludf.DUMMYFUNCTION("GOOGLETRANSLATE(B2731, ""bn"", ""en"")"),"No matter how convincing or prohibitive it may be, some people will have to match their store of religious knowledge.")</f>
        <v>No matter how convincing or prohibitive it may be, some people will have to match their store of religious knowledge.</v>
      </c>
      <c r="D2731" s="5"/>
      <c r="E2731" s="5"/>
      <c r="F2731" s="5"/>
      <c r="G2731" s="5"/>
      <c r="H2731" s="5"/>
      <c r="I2731" s="5"/>
      <c r="J2731" s="5"/>
      <c r="K2731" s="5"/>
      <c r="L2731" s="5"/>
      <c r="M2731" s="5"/>
      <c r="N2731" s="5"/>
      <c r="O2731" s="5"/>
      <c r="P2731" s="5"/>
      <c r="Q2731" s="5"/>
      <c r="R2731" s="5"/>
      <c r="S2731" s="5"/>
      <c r="T2731" s="5"/>
      <c r="U2731" s="5"/>
      <c r="V2731" s="5"/>
      <c r="W2731" s="5"/>
      <c r="X2731" s="5"/>
      <c r="Y2731" s="5"/>
      <c r="Z2731" s="5"/>
    </row>
    <row r="2732" spans="1:26" ht="15.6" x14ac:dyDescent="0.3">
      <c r="A2732" s="19" t="s">
        <v>23</v>
      </c>
      <c r="B2732" s="26" t="s">
        <v>2726</v>
      </c>
      <c r="C2732" s="2" t="str">
        <f ca="1">IFERROR(__xludf.DUMMYFUNCTION("GOOGLETRANSLATE(B2732, ""bn"", ""en"")"),"Those who argue with Hujur, when they die, take Hujur by his feet and take him to the funeral.")</f>
        <v>Those who argue with Hujur, when they die, take Hujur by his feet and take him to the funeral.</v>
      </c>
      <c r="D2732" s="7"/>
      <c r="E2732" s="7"/>
      <c r="F2732" s="5"/>
      <c r="G2732" s="5"/>
      <c r="H2732" s="5"/>
      <c r="I2732" s="5"/>
      <c r="J2732" s="5"/>
      <c r="K2732" s="5"/>
      <c r="L2732" s="5"/>
      <c r="M2732" s="5"/>
      <c r="N2732" s="5"/>
      <c r="O2732" s="5"/>
      <c r="P2732" s="5"/>
      <c r="Q2732" s="5"/>
      <c r="R2732" s="5"/>
      <c r="S2732" s="5"/>
      <c r="T2732" s="5"/>
      <c r="U2732" s="5"/>
      <c r="V2732" s="5"/>
      <c r="W2732" s="5"/>
      <c r="X2732" s="5"/>
      <c r="Y2732" s="5"/>
      <c r="Z2732" s="5"/>
    </row>
    <row r="2733" spans="1:26" ht="15.6" x14ac:dyDescent="0.3">
      <c r="A2733" s="18" t="s">
        <v>3</v>
      </c>
      <c r="B2733" s="25" t="s">
        <v>2727</v>
      </c>
      <c r="C2733" s="2" t="str">
        <f ca="1">IFERROR(__xludf.DUMMYFUNCTION("GOOGLETRANSLATE(B2733, ""bn"", ""en"")"),"If we consciously post from our own thoughts and values ​​on Facebook, it will create positive discussion.")</f>
        <v>If we consciously post from our own thoughts and values ​​on Facebook, it will create positive discussion.</v>
      </c>
      <c r="D2733" s="2"/>
      <c r="E2733" s="2"/>
      <c r="F2733" s="2"/>
      <c r="G2733" s="2"/>
      <c r="H2733" s="3"/>
      <c r="I2733" s="3"/>
      <c r="J2733" s="3"/>
      <c r="K2733" s="3"/>
      <c r="L2733" s="3"/>
      <c r="M2733" s="3"/>
      <c r="N2733" s="3"/>
      <c r="O2733" s="3"/>
      <c r="P2733" s="3"/>
      <c r="Q2733" s="3"/>
      <c r="R2733" s="3"/>
      <c r="S2733" s="3"/>
      <c r="T2733" s="3"/>
      <c r="U2733" s="3"/>
      <c r="V2733" s="3"/>
      <c r="W2733" s="3"/>
      <c r="X2733" s="3"/>
      <c r="Y2733" s="3"/>
      <c r="Z2733" s="3"/>
    </row>
    <row r="2734" spans="1:26" ht="15.6" x14ac:dyDescent="0.3">
      <c r="A2734" s="19" t="s">
        <v>3</v>
      </c>
      <c r="B2734" s="26" t="s">
        <v>2728</v>
      </c>
      <c r="C2734" s="2" t="str">
        <f ca="1">IFERROR(__xludf.DUMMYFUNCTION("GOOGLETRANSLATE(B2734, ""bn"", ""en"")"),"In Islam, debating or making objective statements about the Prophet is considered an attack, which can disturb religious peace. If the complaint is received, the court will take action.")</f>
        <v>In Islam, debating or making objective statements about the Prophet is considered an attack, which can disturb religious peace. If the complaint is received, the court will take action.</v>
      </c>
      <c r="D2734" s="7"/>
      <c r="E2734" s="7"/>
      <c r="F2734" s="7"/>
      <c r="G2734" s="7"/>
      <c r="H2734" s="7"/>
      <c r="I2734" s="7"/>
      <c r="J2734" s="7"/>
      <c r="K2734" s="7"/>
      <c r="L2734" s="5"/>
      <c r="M2734" s="5"/>
      <c r="N2734" s="5"/>
      <c r="O2734" s="5"/>
      <c r="P2734" s="5"/>
      <c r="Q2734" s="5"/>
      <c r="R2734" s="5"/>
      <c r="S2734" s="5"/>
      <c r="T2734" s="5"/>
      <c r="U2734" s="5"/>
      <c r="V2734" s="5"/>
      <c r="W2734" s="5"/>
      <c r="X2734" s="5"/>
      <c r="Y2734" s="5"/>
      <c r="Z2734" s="5"/>
    </row>
    <row r="2735" spans="1:26" ht="15.6" x14ac:dyDescent="0.3">
      <c r="A2735" s="18" t="s">
        <v>5</v>
      </c>
      <c r="B2735" s="24" t="s">
        <v>2729</v>
      </c>
      <c r="C2735" s="2" t="str">
        <f ca="1">IFERROR(__xludf.DUMMYFUNCTION("GOOGLETRANSLATE(B2735, ""bn"", ""en"")"),"In January 2021, an attack during a religious prayer killed 35 people; The dead body is thrown into the river.")</f>
        <v>In January 2021, an attack during a religious prayer killed 35 people; The dead body is thrown into the river.</v>
      </c>
      <c r="D2735" s="5"/>
      <c r="E2735" s="5"/>
      <c r="F2735" s="5"/>
      <c r="G2735" s="5"/>
      <c r="H2735" s="5"/>
      <c r="I2735" s="5"/>
      <c r="J2735" s="5"/>
      <c r="K2735" s="5"/>
      <c r="L2735" s="5"/>
      <c r="M2735" s="5"/>
      <c r="N2735" s="5"/>
      <c r="O2735" s="5"/>
      <c r="P2735" s="5"/>
      <c r="Q2735" s="5"/>
      <c r="R2735" s="5"/>
      <c r="S2735" s="5"/>
      <c r="T2735" s="5"/>
      <c r="U2735" s="5"/>
      <c r="V2735" s="5"/>
      <c r="W2735" s="5"/>
      <c r="X2735" s="5"/>
      <c r="Y2735" s="5"/>
      <c r="Z2735" s="5"/>
    </row>
    <row r="2736" spans="1:26" ht="15.6" x14ac:dyDescent="0.3">
      <c r="A2736" s="18" t="s">
        <v>23</v>
      </c>
      <c r="B2736" s="25" t="s">
        <v>2730</v>
      </c>
      <c r="C2736" s="2" t="str">
        <f ca="1">IFERROR(__xludf.DUMMYFUNCTION("GOOGLETRANSLATE(B2736, ""bn"", ""en"")"),"This time he is making the real move, until now he is making a fool of himself by awakening 'Hindu love' among Muslims.")</f>
        <v>This time he is making the real move, until now he is making a fool of himself by awakening 'Hindu love' among Muslims.</v>
      </c>
      <c r="D2736" s="2"/>
      <c r="E2736" s="2"/>
      <c r="F2736" s="2"/>
      <c r="G2736" s="2"/>
      <c r="H2736" s="5"/>
      <c r="I2736" s="5"/>
      <c r="J2736" s="5"/>
      <c r="K2736" s="5"/>
      <c r="L2736" s="5"/>
      <c r="M2736" s="5"/>
      <c r="N2736" s="5"/>
      <c r="O2736" s="5"/>
      <c r="P2736" s="5"/>
      <c r="Q2736" s="5"/>
      <c r="R2736" s="5"/>
      <c r="S2736" s="5"/>
      <c r="T2736" s="5"/>
      <c r="U2736" s="5"/>
      <c r="V2736" s="5"/>
      <c r="W2736" s="5"/>
      <c r="X2736" s="5"/>
      <c r="Y2736" s="5"/>
      <c r="Z2736" s="5"/>
    </row>
    <row r="2737" spans="1:26" ht="15.6" x14ac:dyDescent="0.3">
      <c r="A2737" s="19" t="s">
        <v>8</v>
      </c>
      <c r="B2737" s="26" t="s">
        <v>2731</v>
      </c>
      <c r="C2737" s="2" t="str">
        <f ca="1">IFERROR(__xludf.DUMMYFUNCTION("GOOGLETRANSLATE(B2737, ""bn"", ""en"")"),"Religious diversity can sometimes lead to conflict and social unrest, especially due to anti-religious ideologies.")</f>
        <v>Religious diversity can sometimes lead to conflict and social unrest, especially due to anti-religious ideologies.</v>
      </c>
      <c r="D2737" s="7"/>
      <c r="E2737" s="7"/>
      <c r="F2737" s="7"/>
      <c r="G2737" s="7"/>
      <c r="H2737" s="5"/>
      <c r="I2737" s="5"/>
      <c r="J2737" s="5"/>
      <c r="K2737" s="5"/>
      <c r="L2737" s="5"/>
      <c r="M2737" s="5"/>
      <c r="N2737" s="5"/>
      <c r="O2737" s="5"/>
      <c r="P2737" s="5"/>
      <c r="Q2737" s="5"/>
      <c r="R2737" s="5"/>
      <c r="S2737" s="5"/>
      <c r="T2737" s="5"/>
      <c r="U2737" s="5"/>
      <c r="V2737" s="5"/>
      <c r="W2737" s="5"/>
      <c r="X2737" s="5"/>
      <c r="Y2737" s="5"/>
      <c r="Z2737" s="5"/>
    </row>
    <row r="2738" spans="1:26" ht="15.6" x14ac:dyDescent="0.3">
      <c r="A2738" s="18" t="s">
        <v>23</v>
      </c>
      <c r="B2738" s="25" t="s">
        <v>2732</v>
      </c>
      <c r="C2738" s="2" t="str">
        <f ca="1">IFERROR(__xludf.DUMMYFUNCTION("GOOGLETRANSLATE(B2738, ""bn"", ""en"")"),"I am surprised, our former MP is not a man of traditional religion but some of his followers are Muslims who are trying to depoliticize their religion with Mosjin.")</f>
        <v>I am surprised, our former MP is not a man of traditional religion but some of his followers are Muslims who are trying to depoliticize their religion with Mosjin.</v>
      </c>
      <c r="D2738" s="5"/>
      <c r="E2738" s="5"/>
      <c r="F2738" s="5"/>
      <c r="G2738" s="5"/>
      <c r="H2738" s="5"/>
      <c r="I2738" s="5"/>
      <c r="J2738" s="5"/>
      <c r="K2738" s="5"/>
      <c r="L2738" s="5"/>
      <c r="M2738" s="5"/>
      <c r="N2738" s="5"/>
      <c r="O2738" s="5"/>
      <c r="P2738" s="5"/>
      <c r="Q2738" s="5"/>
      <c r="R2738" s="5"/>
      <c r="S2738" s="5"/>
      <c r="T2738" s="5"/>
      <c r="U2738" s="5"/>
      <c r="V2738" s="5"/>
      <c r="W2738" s="5"/>
      <c r="X2738" s="5"/>
      <c r="Y2738" s="5"/>
      <c r="Z2738" s="5"/>
    </row>
    <row r="2739" spans="1:26" ht="15.6" x14ac:dyDescent="0.3">
      <c r="A2739" s="18" t="s">
        <v>23</v>
      </c>
      <c r="B2739" s="25" t="s">
        <v>2733</v>
      </c>
      <c r="C2739" s="2" t="str">
        <f ca="1">IFERROR(__xludf.DUMMYFUNCTION("GOOGLETRANSLATE(B2739, ""bn"", ""en"")"),"Even though they are Muslims, they behave like dogs.")</f>
        <v>Even though they are Muslims, they behave like dogs.</v>
      </c>
      <c r="D2739" s="5"/>
      <c r="E2739" s="5"/>
      <c r="F2739" s="5"/>
      <c r="G2739" s="5"/>
      <c r="H2739" s="5"/>
      <c r="I2739" s="5"/>
      <c r="J2739" s="5"/>
      <c r="K2739" s="5"/>
      <c r="L2739" s="5"/>
      <c r="M2739" s="5"/>
      <c r="N2739" s="5"/>
      <c r="O2739" s="5"/>
      <c r="P2739" s="5"/>
      <c r="Q2739" s="5"/>
      <c r="R2739" s="5"/>
      <c r="S2739" s="5"/>
      <c r="T2739" s="5"/>
      <c r="U2739" s="5"/>
      <c r="V2739" s="5"/>
      <c r="W2739" s="5"/>
      <c r="X2739" s="5"/>
      <c r="Y2739" s="5"/>
      <c r="Z2739" s="5"/>
    </row>
    <row r="2740" spans="1:26" ht="15.6" x14ac:dyDescent="0.3">
      <c r="A2740" s="19" t="s">
        <v>5</v>
      </c>
      <c r="B2740" s="26" t="s">
        <v>2734</v>
      </c>
      <c r="C2740" s="2" t="str">
        <f ca="1">IFERROR(__xludf.DUMMYFUNCTION("GOOGLETRANSLATE(B2740, ""bn"", ""en"")"),"In 1983, the Nellie massacre took place in the state of Assam. Around 1,800 Muslims of Bengali origin were killed by the Lalung tribe (also known as Tiwa) in a village called Nelli.")</f>
        <v>In 1983, the Nellie massacre took place in the state of Assam. Around 1,800 Muslims of Bengali origin were killed by the Lalung tribe (also known as Tiwa) in a village called Nelli.</v>
      </c>
      <c r="D2740" s="5"/>
      <c r="E2740" s="5"/>
      <c r="F2740" s="5"/>
      <c r="G2740" s="5"/>
      <c r="H2740" s="5"/>
      <c r="I2740" s="5"/>
      <c r="J2740" s="5"/>
      <c r="K2740" s="5"/>
      <c r="L2740" s="5"/>
      <c r="M2740" s="5"/>
      <c r="N2740" s="5"/>
      <c r="O2740" s="5"/>
      <c r="P2740" s="5"/>
      <c r="Q2740" s="5"/>
      <c r="R2740" s="5"/>
      <c r="S2740" s="5"/>
      <c r="T2740" s="5"/>
      <c r="U2740" s="5"/>
      <c r="V2740" s="5"/>
      <c r="W2740" s="5"/>
      <c r="X2740" s="5"/>
      <c r="Y2740" s="5"/>
      <c r="Z2740" s="5"/>
    </row>
    <row r="2741" spans="1:26" ht="15.6" x14ac:dyDescent="0.3">
      <c r="A2741" s="18" t="s">
        <v>5</v>
      </c>
      <c r="B2741" s="24" t="s">
        <v>2735</v>
      </c>
      <c r="C2741" s="2" t="str">
        <f ca="1">IFERROR(__xludf.DUMMYFUNCTION("GOOGLETRANSLATE(B2741, ""bn"", ""en"")"),"In August 2019, a blogger was publicly killed for expressing religious dissent; Another 16 people lost their lives during the protests.")</f>
        <v>In August 2019, a blogger was publicly killed for expressing religious dissent; Another 16 people lost their lives during the protests.</v>
      </c>
      <c r="D2741" s="5"/>
      <c r="E2741" s="5"/>
      <c r="F2741" s="5"/>
      <c r="G2741" s="5"/>
      <c r="H2741" s="5"/>
      <c r="I2741" s="5"/>
      <c r="J2741" s="5"/>
      <c r="K2741" s="5"/>
      <c r="L2741" s="5"/>
      <c r="M2741" s="5"/>
      <c r="N2741" s="5"/>
      <c r="O2741" s="5"/>
      <c r="P2741" s="5"/>
      <c r="Q2741" s="5"/>
      <c r="R2741" s="5"/>
      <c r="S2741" s="5"/>
      <c r="T2741" s="5"/>
      <c r="U2741" s="5"/>
      <c r="V2741" s="5"/>
      <c r="W2741" s="5"/>
      <c r="X2741" s="5"/>
      <c r="Y2741" s="5"/>
      <c r="Z2741" s="5"/>
    </row>
    <row r="2742" spans="1:26" ht="15.6" x14ac:dyDescent="0.3">
      <c r="A2742" s="18" t="s">
        <v>5</v>
      </c>
      <c r="B2742" s="25" t="s">
        <v>2736</v>
      </c>
      <c r="C2742" s="2" t="str">
        <f ca="1">IFERROR(__xludf.DUMMYFUNCTION("GOOGLETRANSLATE(B2742, ""bn"", ""en"")"),"A 75-year-old woman, a victim of religious superstition, jumped to her death at her husband's funeral, becoming a burning testament to violence against women in the name of religion.")</f>
        <v>A 75-year-old woman, a victim of religious superstition, jumped to her death at her husband's funeral, becoming a burning testament to violence against women in the name of religion.</v>
      </c>
      <c r="D2742" s="5"/>
      <c r="E2742" s="5"/>
      <c r="F2742" s="5"/>
      <c r="G2742" s="5"/>
      <c r="H2742" s="5"/>
      <c r="I2742" s="5"/>
      <c r="J2742" s="5"/>
      <c r="K2742" s="5"/>
      <c r="L2742" s="5"/>
      <c r="M2742" s="5"/>
      <c r="N2742" s="5"/>
      <c r="O2742" s="5"/>
      <c r="P2742" s="5"/>
      <c r="Q2742" s="5"/>
      <c r="R2742" s="5"/>
      <c r="S2742" s="5"/>
      <c r="T2742" s="5"/>
      <c r="U2742" s="5"/>
      <c r="V2742" s="5"/>
      <c r="W2742" s="5"/>
      <c r="X2742" s="5"/>
      <c r="Y2742" s="5"/>
      <c r="Z2742" s="5"/>
    </row>
    <row r="2743" spans="1:26" ht="15.6" x14ac:dyDescent="0.3">
      <c r="A2743" s="18" t="s">
        <v>8</v>
      </c>
      <c r="B2743" s="25" t="s">
        <v>2737</v>
      </c>
      <c r="C2743" s="2" t="str">
        <f ca="1">IFERROR(__xludf.DUMMYFUNCTION("GOOGLETRANSLATE(B2743, ""bn"", ""en"")"),"On December 7, during a game in Dhaka, about 5,000 fanatical religious fanatics stormed the stadium with iron rods, knives and rams, causing massive riots.")</f>
        <v>On December 7, during a game in Dhaka, about 5,000 fanatical religious fanatics stormed the stadium with iron rods, knives and rams, causing massive riots.</v>
      </c>
      <c r="D2743" s="5"/>
      <c r="E2743" s="5"/>
      <c r="F2743" s="5"/>
      <c r="G2743" s="5"/>
      <c r="H2743" s="5"/>
      <c r="I2743" s="5"/>
      <c r="J2743" s="5"/>
      <c r="K2743" s="5"/>
      <c r="L2743" s="5"/>
      <c r="M2743" s="5"/>
      <c r="N2743" s="5"/>
      <c r="O2743" s="5"/>
      <c r="P2743" s="5"/>
      <c r="Q2743" s="5"/>
      <c r="R2743" s="5"/>
      <c r="S2743" s="5"/>
      <c r="T2743" s="5"/>
      <c r="U2743" s="5"/>
      <c r="V2743" s="5"/>
      <c r="W2743" s="5"/>
      <c r="X2743" s="5"/>
      <c r="Y2743" s="5"/>
      <c r="Z2743" s="5"/>
    </row>
    <row r="2744" spans="1:26" ht="15.6" x14ac:dyDescent="0.3">
      <c r="A2744" s="19" t="s">
        <v>3</v>
      </c>
      <c r="B2744" s="26" t="s">
        <v>2738</v>
      </c>
      <c r="C2744" s="2" t="str">
        <f ca="1">IFERROR(__xludf.DUMMYFUNCTION("GOOGLETRANSLATE(B2744, ""bn"", ""en"")"),"Another worshiper dies in second phase of Biswa Ijtema at Turag Bank in Tongir; The total number of dead is 7 people.")</f>
        <v>Another worshiper dies in second phase of Biswa Ijtema at Turag Bank in Tongir; The total number of dead is 7 people.</v>
      </c>
      <c r="D2744" s="7"/>
      <c r="E2744" s="7"/>
      <c r="F2744" s="5"/>
      <c r="G2744" s="5"/>
      <c r="H2744" s="5"/>
      <c r="I2744" s="5"/>
      <c r="J2744" s="5"/>
      <c r="K2744" s="5"/>
      <c r="L2744" s="5"/>
      <c r="M2744" s="5"/>
      <c r="N2744" s="5"/>
      <c r="O2744" s="5"/>
      <c r="P2744" s="5"/>
      <c r="Q2744" s="5"/>
      <c r="R2744" s="5"/>
      <c r="S2744" s="5"/>
      <c r="T2744" s="5"/>
      <c r="U2744" s="5"/>
      <c r="V2744" s="5"/>
      <c r="W2744" s="5"/>
      <c r="X2744" s="5"/>
      <c r="Y2744" s="5"/>
      <c r="Z2744" s="5"/>
    </row>
    <row r="2745" spans="1:26" ht="15.6" x14ac:dyDescent="0.3">
      <c r="A2745" s="18" t="s">
        <v>23</v>
      </c>
      <c r="B2745" s="25" t="s">
        <v>2739</v>
      </c>
      <c r="C2745" s="2" t="str">
        <f ca="1">IFERROR(__xludf.DUMMYFUNCTION("GOOGLETRANSLATE(B2745, ""bn"", ""en"")"),"As a Muslim, I strongly protest and condemn this misrepresentation of Islam, which we all Muslims should protest against")</f>
        <v>As a Muslim, I strongly protest and condemn this misrepresentation of Islam, which we all Muslims should protest against</v>
      </c>
      <c r="D2745" s="5"/>
      <c r="E2745" s="5"/>
      <c r="F2745" s="5"/>
      <c r="G2745" s="5"/>
      <c r="H2745" s="5"/>
      <c r="I2745" s="5"/>
      <c r="J2745" s="5"/>
      <c r="K2745" s="5"/>
      <c r="L2745" s="5"/>
      <c r="M2745" s="5"/>
      <c r="N2745" s="5"/>
      <c r="O2745" s="5"/>
      <c r="P2745" s="5"/>
      <c r="Q2745" s="5"/>
      <c r="R2745" s="5"/>
      <c r="S2745" s="5"/>
      <c r="T2745" s="5"/>
      <c r="U2745" s="5"/>
      <c r="V2745" s="5"/>
      <c r="W2745" s="5"/>
      <c r="X2745" s="5"/>
      <c r="Y2745" s="5"/>
      <c r="Z2745" s="5"/>
    </row>
    <row r="2746" spans="1:26" ht="15.6" x14ac:dyDescent="0.3">
      <c r="A2746" s="18" t="s">
        <v>3</v>
      </c>
      <c r="B2746" s="25" t="s">
        <v>2740</v>
      </c>
      <c r="C2746" s="2" t="str">
        <f ca="1">IFERROR(__xludf.DUMMYFUNCTION("GOOGLETRANSLATE(B2746, ""bn"", ""en"")"),"Brother, we know that you love Buddhism, it is good to say Buddhism in a beautiful way")</f>
        <v>Brother, we know that you love Buddhism, it is good to say Buddhism in a beautiful way</v>
      </c>
      <c r="D2746" s="2"/>
      <c r="E2746" s="2"/>
      <c r="F2746" s="2"/>
      <c r="G2746" s="2"/>
      <c r="H2746" s="3"/>
      <c r="I2746" s="3"/>
      <c r="J2746" s="3"/>
      <c r="K2746" s="3"/>
      <c r="L2746" s="3"/>
      <c r="M2746" s="3"/>
      <c r="N2746" s="3"/>
      <c r="O2746" s="3"/>
      <c r="P2746" s="3"/>
      <c r="Q2746" s="3"/>
      <c r="R2746" s="3"/>
      <c r="S2746" s="3"/>
      <c r="T2746" s="3"/>
      <c r="U2746" s="3"/>
      <c r="V2746" s="3"/>
      <c r="W2746" s="3"/>
      <c r="X2746" s="3"/>
      <c r="Y2746" s="3"/>
      <c r="Z2746" s="3"/>
    </row>
    <row r="2747" spans="1:26" ht="15.6" x14ac:dyDescent="0.3">
      <c r="A2747" s="18" t="s">
        <v>8</v>
      </c>
      <c r="B2747" s="24" t="s">
        <v>2741</v>
      </c>
      <c r="C2747" s="2" t="str">
        <f ca="1">IFERROR(__xludf.DUMMYFUNCTION("GOOGLETRANSLATE(B2747, ""bn"", ""en"")"),"On August 18, 2023, a temporary structure was destroyed and the artists were chased away while making idols at Boda in Panchagarh.")</f>
        <v>On August 18, 2023, a temporary structure was destroyed and the artists were chased away while making idols at Boda in Panchagarh.</v>
      </c>
      <c r="D2747" s="5"/>
      <c r="E2747" s="5"/>
      <c r="F2747" s="5"/>
      <c r="G2747" s="5"/>
      <c r="H2747" s="5"/>
      <c r="I2747" s="5"/>
      <c r="J2747" s="5"/>
      <c r="K2747" s="5"/>
      <c r="L2747" s="5"/>
      <c r="M2747" s="5"/>
      <c r="N2747" s="5"/>
      <c r="O2747" s="5"/>
      <c r="P2747" s="5"/>
      <c r="Q2747" s="5"/>
      <c r="R2747" s="5"/>
      <c r="S2747" s="5"/>
      <c r="T2747" s="5"/>
      <c r="U2747" s="5"/>
      <c r="V2747" s="5"/>
      <c r="W2747" s="5"/>
      <c r="X2747" s="5"/>
      <c r="Y2747" s="5"/>
      <c r="Z2747" s="5"/>
    </row>
    <row r="2748" spans="1:26" ht="15.6" x14ac:dyDescent="0.3">
      <c r="A2748" s="18" t="s">
        <v>3</v>
      </c>
      <c r="B2748" s="25" t="s">
        <v>2742</v>
      </c>
      <c r="C2748" s="2" t="str">
        <f ca="1">IFERROR(__xludf.DUMMYFUNCTION("GOOGLETRANSLATE(B2748, ""bn"", ""en"")"),"A complete introduction and philosophy of the creation of Muslims, the ancestors, how Muslims appeared on earth, is found in the history of Islam. That is basically the history of human creation, namely the history of Muslim creation. Muslims are people m"&amp;"ade of clay made of light.")</f>
        <v>A complete introduction and philosophy of the creation of Muslims, the ancestors, how Muslims appeared on earth, is found in the history of Islam. That is basically the history of human creation, namely the history of Muslim creation. Muslims are people made of clay made of light.</v>
      </c>
      <c r="D2748" s="5"/>
      <c r="E2748" s="5"/>
      <c r="F2748" s="5"/>
      <c r="G2748" s="5"/>
      <c r="H2748" s="5"/>
      <c r="I2748" s="5"/>
      <c r="J2748" s="5"/>
      <c r="K2748" s="5"/>
      <c r="L2748" s="5"/>
      <c r="M2748" s="5"/>
      <c r="N2748" s="5"/>
      <c r="O2748" s="5"/>
      <c r="P2748" s="5"/>
      <c r="Q2748" s="5"/>
      <c r="R2748" s="5"/>
      <c r="S2748" s="5"/>
      <c r="T2748" s="5"/>
      <c r="U2748" s="5"/>
      <c r="V2748" s="5"/>
      <c r="W2748" s="5"/>
      <c r="X2748" s="5"/>
      <c r="Y2748" s="5"/>
      <c r="Z2748" s="5"/>
    </row>
    <row r="2749" spans="1:26" ht="15.6" x14ac:dyDescent="0.3">
      <c r="A2749" s="18" t="s">
        <v>3</v>
      </c>
      <c r="B2749" s="25" t="s">
        <v>2743</v>
      </c>
      <c r="C2749" s="2" t="str">
        <f ca="1">IFERROR(__xludf.DUMMYFUNCTION("GOOGLETRANSLATE(B2749, ""bn"", ""en"")"),"Christianity came to Bangladesh through Portuguese missionaries in the 16th century. Currently, about 0.4 percent of the total population of the country are Christians, who have been practicing their religious beliefs peacefully.")</f>
        <v>Christianity came to Bangladesh through Portuguese missionaries in the 16th century. Currently, about 0.4 percent of the total population of the country are Christians, who have been practicing their religious beliefs peacefully.</v>
      </c>
      <c r="D2749" s="5"/>
      <c r="E2749" s="5"/>
      <c r="F2749" s="5"/>
      <c r="G2749" s="5"/>
      <c r="H2749" s="5"/>
      <c r="I2749" s="5"/>
      <c r="J2749" s="5"/>
      <c r="K2749" s="5"/>
      <c r="L2749" s="5"/>
      <c r="M2749" s="5"/>
      <c r="N2749" s="5"/>
      <c r="O2749" s="5"/>
      <c r="P2749" s="5"/>
      <c r="Q2749" s="5"/>
      <c r="R2749" s="5"/>
      <c r="S2749" s="5"/>
      <c r="T2749" s="5"/>
      <c r="U2749" s="5"/>
      <c r="V2749" s="5"/>
      <c r="W2749" s="5"/>
      <c r="X2749" s="5"/>
      <c r="Y2749" s="5"/>
      <c r="Z2749" s="5"/>
    </row>
    <row r="2750" spans="1:26" ht="15.6" x14ac:dyDescent="0.3">
      <c r="A2750" s="19" t="s">
        <v>8</v>
      </c>
      <c r="B2750" s="26" t="s">
        <v>2744</v>
      </c>
      <c r="C2750" s="2" t="str">
        <f ca="1">IFERROR(__xludf.DUMMYFUNCTION("GOOGLETRANSLATE(B2750, ""bn"", ""en"")"),"Around 8 pm, miscreants attacked in a group They vandalized the nat temple in front of the main temple All the tins are taken away They entered the main temple by breaking the lock and ransacking and looting Everything is taken Durga Puja ahead The struct"&amp;"ure of the idol has been crushed Later the Kalimandir was set on fire Three more temples were attacked and vandalized He said, ""Durga Puja after one month We don't know how to worship")</f>
        <v>Around 8 pm, miscreants attacked in a group They vandalized the nat temple in front of the main temple All the tins are taken away They entered the main temple by breaking the lock and ransacking and looting Everything is taken Durga Puja ahead The structure of the idol has been crushed Later the Kalimandir was set on fire Three more temples were attacked and vandalized He said, "Durga Puja after one month We don't know how to worship</v>
      </c>
      <c r="D2750" s="7"/>
      <c r="E2750" s="7"/>
      <c r="F2750" s="7"/>
      <c r="G2750" s="7"/>
      <c r="H2750" s="7"/>
      <c r="I2750" s="7"/>
      <c r="J2750" s="7"/>
      <c r="K2750" s="7"/>
      <c r="L2750" s="7"/>
      <c r="M2750" s="7"/>
      <c r="N2750" s="7"/>
      <c r="O2750" s="7"/>
      <c r="P2750" s="7"/>
      <c r="Q2750" s="7"/>
      <c r="R2750" s="7"/>
      <c r="S2750" s="7"/>
      <c r="T2750" s="5"/>
      <c r="U2750" s="5"/>
      <c r="V2750" s="5"/>
      <c r="W2750" s="5"/>
      <c r="X2750" s="5"/>
      <c r="Y2750" s="5"/>
      <c r="Z2750" s="5"/>
    </row>
    <row r="2751" spans="1:26" ht="15.6" x14ac:dyDescent="0.3">
      <c r="A2751" s="19" t="s">
        <v>3</v>
      </c>
      <c r="B2751" s="26" t="s">
        <v>2745</v>
      </c>
      <c r="C2751" s="2" t="str">
        <f ca="1">IFERROR(__xludf.DUMMYFUNCTION("GOOGLETRANSLATE(B2751, ""bn"", ""en"")"),"No religion supports extremism. Denigrating others in the name of one religion is wrong and detrimental to religious peace.")</f>
        <v>No religion supports extremism. Denigrating others in the name of one religion is wrong and detrimental to religious peace.</v>
      </c>
      <c r="D2751" s="7"/>
      <c r="E2751" s="7"/>
      <c r="F2751" s="7"/>
      <c r="G2751" s="7"/>
      <c r="H2751" s="5"/>
      <c r="I2751" s="5"/>
      <c r="J2751" s="5"/>
      <c r="K2751" s="5"/>
      <c r="L2751" s="5"/>
      <c r="M2751" s="5"/>
      <c r="N2751" s="5"/>
      <c r="O2751" s="5"/>
      <c r="P2751" s="5"/>
      <c r="Q2751" s="5"/>
      <c r="R2751" s="5"/>
      <c r="S2751" s="5"/>
      <c r="T2751" s="5"/>
      <c r="U2751" s="5"/>
      <c r="V2751" s="5"/>
      <c r="W2751" s="5"/>
      <c r="X2751" s="5"/>
      <c r="Y2751" s="5"/>
      <c r="Z2751" s="5"/>
    </row>
    <row r="2752" spans="1:26" ht="15.6" x14ac:dyDescent="0.3">
      <c r="A2752" s="18" t="s">
        <v>5</v>
      </c>
      <c r="B2752" s="25" t="s">
        <v>2746</v>
      </c>
      <c r="C2752" s="2" t="str">
        <f ca="1">IFERROR(__xludf.DUMMYFUNCTION("GOOGLETRANSLATE(B2752, ""bn"", ""en"")"),"Tens of thousands of innocent people have lost their lives in suicide attacks and violence fueled by sectarian extremism centered on the Shia-Sunni conflict, which has become a horrific example of religious brutality.")</f>
        <v>Tens of thousands of innocent people have lost their lives in suicide attacks and violence fueled by sectarian extremism centered on the Shia-Sunni conflict, which has become a horrific example of religious brutality.</v>
      </c>
      <c r="D2752" s="5"/>
      <c r="E2752" s="5"/>
      <c r="F2752" s="5"/>
      <c r="G2752" s="5"/>
      <c r="H2752" s="5"/>
      <c r="I2752" s="5"/>
      <c r="J2752" s="5"/>
      <c r="K2752" s="5"/>
      <c r="L2752" s="5"/>
      <c r="M2752" s="5"/>
      <c r="N2752" s="5"/>
      <c r="O2752" s="5"/>
      <c r="P2752" s="5"/>
      <c r="Q2752" s="5"/>
      <c r="R2752" s="5"/>
      <c r="S2752" s="5"/>
      <c r="T2752" s="5"/>
      <c r="U2752" s="5"/>
      <c r="V2752" s="5"/>
      <c r="W2752" s="5"/>
      <c r="X2752" s="5"/>
      <c r="Y2752" s="5"/>
      <c r="Z2752" s="5"/>
    </row>
    <row r="2753" spans="1:26" ht="15.6" x14ac:dyDescent="0.3">
      <c r="A2753" s="19" t="s">
        <v>3</v>
      </c>
      <c r="B2753" s="26" t="s">
        <v>2747</v>
      </c>
      <c r="C2753" s="2" t="str">
        <f ca="1">IFERROR(__xludf.DUMMYFUNCTION("GOOGLETRANSLATE(B2753, ""bn"", ""en"")"),"Religious and social degradation is increasing day by day through social media.")</f>
        <v>Religious and social degradation is increasing day by day through social media.</v>
      </c>
      <c r="D2753" s="7"/>
      <c r="E2753" s="5"/>
      <c r="F2753" s="5"/>
      <c r="G2753" s="5"/>
      <c r="H2753" s="5"/>
      <c r="I2753" s="5"/>
      <c r="J2753" s="5"/>
      <c r="K2753" s="5"/>
      <c r="L2753" s="5"/>
      <c r="M2753" s="5"/>
      <c r="N2753" s="5"/>
      <c r="O2753" s="5"/>
      <c r="P2753" s="5"/>
      <c r="Q2753" s="5"/>
      <c r="R2753" s="5"/>
      <c r="S2753" s="5"/>
      <c r="T2753" s="5"/>
      <c r="U2753" s="5"/>
      <c r="V2753" s="5"/>
      <c r="W2753" s="5"/>
      <c r="X2753" s="5"/>
      <c r="Y2753" s="5"/>
      <c r="Z2753" s="5"/>
    </row>
    <row r="2754" spans="1:26" ht="15.6" x14ac:dyDescent="0.3">
      <c r="A2754" s="18" t="s">
        <v>5</v>
      </c>
      <c r="B2754" s="24" t="s">
        <v>2748</v>
      </c>
      <c r="C2754" s="2" t="str">
        <f ca="1">IFERROR(__xludf.DUMMYFUNCTION("GOOGLETRANSLATE(B2754, ""bn"", ""en"")"),"In October 2019, extremists from a religious group banned girls from sports; 14 people were killed in violence against the participants of the game.")</f>
        <v>In October 2019, extremists from a religious group banned girls from sports; 14 people were killed in violence against the participants of the game.</v>
      </c>
      <c r="D2754" s="5"/>
      <c r="E2754" s="5"/>
      <c r="F2754" s="5"/>
      <c r="G2754" s="5"/>
      <c r="H2754" s="5"/>
      <c r="I2754" s="5"/>
      <c r="J2754" s="5"/>
      <c r="K2754" s="5"/>
      <c r="L2754" s="5"/>
      <c r="M2754" s="5"/>
      <c r="N2754" s="5"/>
      <c r="O2754" s="5"/>
      <c r="P2754" s="5"/>
      <c r="Q2754" s="5"/>
      <c r="R2754" s="5"/>
      <c r="S2754" s="5"/>
      <c r="T2754" s="5"/>
      <c r="U2754" s="5"/>
      <c r="V2754" s="5"/>
      <c r="W2754" s="5"/>
      <c r="X2754" s="5"/>
      <c r="Y2754" s="5"/>
      <c r="Z2754" s="5"/>
    </row>
    <row r="2755" spans="1:26" ht="15.6" x14ac:dyDescent="0.3">
      <c r="A2755" s="19" t="s">
        <v>8</v>
      </c>
      <c r="B2755" s="26" t="s">
        <v>2749</v>
      </c>
      <c r="C2755" s="2" t="str">
        <f ca="1">IFERROR(__xludf.DUMMYFUNCTION("GOOGLETRANSLATE(B2755, ""bn"", ""en"")"),"Clashes and chases took place between the two sides for about half an hour. Seven people, including five policemen, were injured during the clash. Two injured protestors were admitted to Dhaka Medical College Hospital. Bayjidur Rahman, Assistant Commissio"&amp;"ner of Police Ramna Zone, said that ""five policemen including him were injured in the clash"".")</f>
        <v>Clashes and chases took place between the two sides for about half an hour. Seven people, including five policemen, were injured during the clash. Two injured protestors were admitted to Dhaka Medical College Hospital. Bayjidur Rahman, Assistant Commissioner of Police Ramna Zone, said that "five policemen including him were injured in the clash".</v>
      </c>
      <c r="D2755" s="7"/>
      <c r="E2755" s="7"/>
      <c r="F2755" s="7"/>
      <c r="G2755" s="7"/>
      <c r="H2755" s="7"/>
      <c r="I2755" s="7"/>
      <c r="J2755" s="7"/>
      <c r="K2755" s="7"/>
      <c r="L2755" s="7"/>
      <c r="M2755" s="7"/>
      <c r="N2755" s="7"/>
      <c r="O2755" s="5"/>
      <c r="P2755" s="5"/>
      <c r="Q2755" s="5"/>
      <c r="R2755" s="5"/>
      <c r="S2755" s="5"/>
      <c r="T2755" s="5"/>
      <c r="U2755" s="5"/>
      <c r="V2755" s="5"/>
      <c r="W2755" s="5"/>
      <c r="X2755" s="5"/>
      <c r="Y2755" s="5"/>
      <c r="Z2755" s="5"/>
    </row>
    <row r="2756" spans="1:26" ht="15.6" x14ac:dyDescent="0.3">
      <c r="A2756" s="18" t="s">
        <v>5</v>
      </c>
      <c r="B2756" s="25" t="s">
        <v>2750</v>
      </c>
      <c r="C2756" s="2" t="str">
        <f ca="1">IFERROR(__xludf.DUMMYFUNCTION("GOOGLETRANSLATE(B2756, ""bn"", ""en"")"),"Riots started between Santals and Muslims over a minor religious dispute. The Santals shot dead three Muslims and set six others on fire.")</f>
        <v>Riots started between Santals and Muslims over a minor religious dispute. The Santals shot dead three Muslims and set six others on fire.</v>
      </c>
      <c r="D2756" s="5"/>
      <c r="E2756" s="5"/>
      <c r="F2756" s="5"/>
      <c r="G2756" s="5"/>
      <c r="H2756" s="5"/>
      <c r="I2756" s="5"/>
      <c r="J2756" s="5"/>
      <c r="K2756" s="5"/>
      <c r="L2756" s="5"/>
      <c r="M2756" s="5"/>
      <c r="N2756" s="5"/>
      <c r="O2756" s="5"/>
      <c r="P2756" s="5"/>
      <c r="Q2756" s="5"/>
      <c r="R2756" s="5"/>
      <c r="S2756" s="5"/>
      <c r="T2756" s="5"/>
      <c r="U2756" s="5"/>
      <c r="V2756" s="5"/>
      <c r="W2756" s="5"/>
      <c r="X2756" s="5"/>
      <c r="Y2756" s="5"/>
      <c r="Z2756" s="5"/>
    </row>
    <row r="2757" spans="1:26" ht="15.6" x14ac:dyDescent="0.3">
      <c r="A2757" s="18" t="s">
        <v>3</v>
      </c>
      <c r="B2757" s="25" t="s">
        <v>2751</v>
      </c>
      <c r="C2757" s="2" t="str">
        <f ca="1">IFERROR(__xludf.DUMMYFUNCTION("GOOGLETRANSLATE(B2757, ""bn"", ""en"")"),"Not only in Surah Baqarah, but also in the field of Surah Fatihar, it can be seen. Alhamdulillah I learned these from the series of Ulto Nirnoy and Pado. Thank you sir. I try to watch all your videos.")</f>
        <v>Not only in Surah Baqarah, but also in the field of Surah Fatihar, it can be seen. Alhamdulillah I learned these from the series of Ulto Nirnoy and Pado. Thank you sir. I try to watch all your videos.</v>
      </c>
      <c r="D2757" s="5"/>
      <c r="E2757" s="5"/>
      <c r="F2757" s="5"/>
      <c r="G2757" s="5"/>
      <c r="H2757" s="5"/>
      <c r="I2757" s="5"/>
      <c r="J2757" s="5"/>
      <c r="K2757" s="5"/>
      <c r="L2757" s="5"/>
      <c r="M2757" s="5"/>
      <c r="N2757" s="5"/>
      <c r="O2757" s="5"/>
      <c r="P2757" s="5"/>
      <c r="Q2757" s="5"/>
      <c r="R2757" s="5"/>
      <c r="S2757" s="5"/>
      <c r="T2757" s="5"/>
      <c r="U2757" s="5"/>
      <c r="V2757" s="5"/>
      <c r="W2757" s="5"/>
      <c r="X2757" s="5"/>
      <c r="Y2757" s="5"/>
      <c r="Z2757" s="5"/>
    </row>
    <row r="2758" spans="1:26" ht="15.6" x14ac:dyDescent="0.3">
      <c r="A2758" s="19" t="s">
        <v>23</v>
      </c>
      <c r="B2758" s="26" t="s">
        <v>2752</v>
      </c>
      <c r="C2758" s="2" t="str">
        <f ca="1">IFERROR(__xludf.DUMMYFUNCTION("GOOGLETRANSLATE(B2758, ""bn"", ""en"")"),"At least in the month of Koran, no Muslim child does these things.")</f>
        <v>At least in the month of Koran, no Muslim child does these things.</v>
      </c>
      <c r="D2758" s="5"/>
      <c r="E2758" s="5"/>
      <c r="F2758" s="5"/>
      <c r="G2758" s="5"/>
      <c r="H2758" s="5"/>
      <c r="I2758" s="5"/>
      <c r="J2758" s="5"/>
      <c r="K2758" s="5"/>
      <c r="L2758" s="5"/>
      <c r="M2758" s="5"/>
      <c r="N2758" s="5"/>
      <c r="O2758" s="5"/>
      <c r="P2758" s="5"/>
      <c r="Q2758" s="5"/>
      <c r="R2758" s="5"/>
      <c r="S2758" s="5"/>
      <c r="T2758" s="5"/>
      <c r="U2758" s="5"/>
      <c r="V2758" s="5"/>
      <c r="W2758" s="5"/>
      <c r="X2758" s="5"/>
      <c r="Y2758" s="5"/>
      <c r="Z2758" s="5"/>
    </row>
    <row r="2759" spans="1:26" ht="15.6" x14ac:dyDescent="0.3">
      <c r="A2759" s="18" t="s">
        <v>3</v>
      </c>
      <c r="B2759" s="25" t="s">
        <v>2753</v>
      </c>
      <c r="C2759" s="2" t="str">
        <f ca="1">IFERROR(__xludf.DUMMYFUNCTION("GOOGLETRANSLATE(B2759, ""bn"", ""en"")"),"According to ancient theory, the region of present-day Bangladesh was the main center of Buddhism propagation in Asia. Buddhism, including philosophy and architecture, traveled from Bengal to Tibet, Southeast Asia, and Indonesia.")</f>
        <v>According to ancient theory, the region of present-day Bangladesh was the main center of Buddhism propagation in Asia. Buddhism, including philosophy and architecture, traveled from Bengal to Tibet, Southeast Asia, and Indonesia.</v>
      </c>
      <c r="D2759" s="2"/>
      <c r="E2759" s="2"/>
      <c r="F2759" s="2"/>
      <c r="G2759" s="2"/>
      <c r="H2759" s="3"/>
      <c r="I2759" s="3"/>
      <c r="J2759" s="3"/>
      <c r="K2759" s="3"/>
      <c r="L2759" s="3"/>
      <c r="M2759" s="3"/>
      <c r="N2759" s="3"/>
      <c r="O2759" s="3"/>
      <c r="P2759" s="3"/>
      <c r="Q2759" s="3"/>
      <c r="R2759" s="3"/>
      <c r="S2759" s="3"/>
      <c r="T2759" s="3"/>
      <c r="U2759" s="3"/>
      <c r="V2759" s="3"/>
      <c r="W2759" s="3"/>
      <c r="X2759" s="3"/>
      <c r="Y2759" s="3"/>
      <c r="Z2759" s="3"/>
    </row>
    <row r="2760" spans="1:26" ht="15.6" x14ac:dyDescent="0.3">
      <c r="A2760" s="18" t="s">
        <v>8</v>
      </c>
      <c r="B2760" s="24" t="s">
        <v>2754</v>
      </c>
      <c r="C2760" s="2" t="str">
        <f ca="1">IFERROR(__xludf.DUMMYFUNCTION("GOOGLETRANSLATE(B2760, ""bn"", ""en"")"),"On the day of Durgotsava in Rangpur, a bomb was hurled on an idol, several idols were broken into pieces.")</f>
        <v>On the day of Durgotsava in Rangpur, a bomb was hurled on an idol, several idols were broken into pieces.</v>
      </c>
      <c r="D2760" s="5"/>
      <c r="E2760" s="5"/>
      <c r="F2760" s="5"/>
      <c r="G2760" s="5"/>
      <c r="H2760" s="5"/>
      <c r="I2760" s="5"/>
      <c r="J2760" s="5"/>
      <c r="K2760" s="5"/>
      <c r="L2760" s="5"/>
      <c r="M2760" s="5"/>
      <c r="N2760" s="5"/>
      <c r="O2760" s="5"/>
      <c r="P2760" s="5"/>
      <c r="Q2760" s="5"/>
      <c r="R2760" s="5"/>
      <c r="S2760" s="5"/>
      <c r="T2760" s="5"/>
      <c r="U2760" s="5"/>
      <c r="V2760" s="5"/>
      <c r="W2760" s="5"/>
      <c r="X2760" s="5"/>
      <c r="Y2760" s="5"/>
      <c r="Z2760" s="5"/>
    </row>
    <row r="2761" spans="1:26" ht="15.6" x14ac:dyDescent="0.3">
      <c r="A2761" s="19" t="s">
        <v>5</v>
      </c>
      <c r="B2761" s="26" t="s">
        <v>2755</v>
      </c>
      <c r="C2761" s="2" t="str">
        <f ca="1">IFERROR(__xludf.DUMMYFUNCTION("GOOGLETRANSLATE(B2761, ""bn"", ""en"")"),"An estimated 30 people lost their lives in the 1969 riots in Bangladesh. Another riot in 1970 saw violence against the minority community.")</f>
        <v>An estimated 30 people lost their lives in the 1969 riots in Bangladesh. Another riot in 1970 saw violence against the minority community.</v>
      </c>
      <c r="D2761" s="2"/>
      <c r="E2761" s="2"/>
      <c r="F2761" s="2"/>
      <c r="G2761" s="2"/>
      <c r="H2761" s="3"/>
      <c r="I2761" s="3"/>
      <c r="J2761" s="3"/>
      <c r="K2761" s="3"/>
      <c r="L2761" s="3"/>
      <c r="M2761" s="3"/>
      <c r="N2761" s="3"/>
      <c r="O2761" s="3"/>
      <c r="P2761" s="3"/>
      <c r="Q2761" s="3"/>
      <c r="R2761" s="3"/>
      <c r="S2761" s="3"/>
      <c r="T2761" s="3"/>
      <c r="U2761" s="3"/>
      <c r="V2761" s="3"/>
      <c r="W2761" s="3"/>
      <c r="X2761" s="3"/>
      <c r="Y2761" s="3"/>
      <c r="Z2761" s="3"/>
    </row>
    <row r="2762" spans="1:26" ht="15.6" x14ac:dyDescent="0.3">
      <c r="A2762" s="18" t="s">
        <v>3</v>
      </c>
      <c r="B2762" s="25" t="s">
        <v>2756</v>
      </c>
      <c r="C2762" s="2" t="str">
        <f ca="1">IFERROR(__xludf.DUMMYFUNCTION("GOOGLETRANSLATE(B2762, ""bn"", ""en"")"),"Very few people have the ability to say it so beautifully. May Allah grant you a good life and guide you to the right path, Ameen.")</f>
        <v>Very few people have the ability to say it so beautifully. May Allah grant you a good life and guide you to the right path, Ameen.</v>
      </c>
      <c r="D2762" s="5"/>
      <c r="E2762" s="5"/>
      <c r="F2762" s="5"/>
      <c r="G2762" s="5"/>
      <c r="H2762" s="5"/>
      <c r="I2762" s="5"/>
      <c r="J2762" s="5"/>
      <c r="K2762" s="5"/>
      <c r="L2762" s="5"/>
      <c r="M2762" s="5"/>
      <c r="N2762" s="5"/>
      <c r="O2762" s="5"/>
      <c r="P2762" s="5"/>
      <c r="Q2762" s="5"/>
      <c r="R2762" s="5"/>
      <c r="S2762" s="5"/>
      <c r="T2762" s="5"/>
      <c r="U2762" s="5"/>
      <c r="V2762" s="5"/>
      <c r="W2762" s="5"/>
      <c r="X2762" s="5"/>
      <c r="Y2762" s="5"/>
      <c r="Z2762" s="5"/>
    </row>
    <row r="2763" spans="1:26" ht="15.6" x14ac:dyDescent="0.3">
      <c r="A2763" s="18" t="s">
        <v>5</v>
      </c>
      <c r="B2763" s="24" t="s">
        <v>2757</v>
      </c>
      <c r="C2763" s="2" t="str">
        <f ca="1">IFERROR(__xludf.DUMMYFUNCTION("GOOGLETRANSLATE(B2763, ""bn"", ""en"")"),"In January 2016, a group attacked religious book distributors, killing 21 people.")</f>
        <v>In January 2016, a group attacked religious book distributors, killing 21 people.</v>
      </c>
      <c r="D2763" s="5"/>
      <c r="E2763" s="5"/>
      <c r="F2763" s="5"/>
      <c r="G2763" s="5"/>
      <c r="H2763" s="5"/>
      <c r="I2763" s="5"/>
      <c r="J2763" s="5"/>
      <c r="K2763" s="5"/>
      <c r="L2763" s="5"/>
      <c r="M2763" s="5"/>
      <c r="N2763" s="5"/>
      <c r="O2763" s="5"/>
      <c r="P2763" s="5"/>
      <c r="Q2763" s="5"/>
      <c r="R2763" s="5"/>
      <c r="S2763" s="5"/>
      <c r="T2763" s="5"/>
      <c r="U2763" s="5"/>
      <c r="V2763" s="5"/>
      <c r="W2763" s="5"/>
      <c r="X2763" s="5"/>
      <c r="Y2763" s="5"/>
      <c r="Z2763" s="5"/>
    </row>
    <row r="2764" spans="1:26" ht="15.6" x14ac:dyDescent="0.3">
      <c r="A2764" s="18" t="s">
        <v>8</v>
      </c>
      <c r="B2764" s="25" t="s">
        <v>2758</v>
      </c>
      <c r="C2764" s="2" t="str">
        <f ca="1">IFERROR(__xludf.DUMMYFUNCTION("GOOGLETRANSLATE(B2764, ""bn"", ""en"")"),"Pooja uncertain after Saraswati idol vandalized in Dewanganj")</f>
        <v>Pooja uncertain after Saraswati idol vandalized in Dewanganj</v>
      </c>
      <c r="D2764" s="7"/>
      <c r="E2764" s="7"/>
      <c r="F2764" s="7"/>
      <c r="G2764" s="7"/>
      <c r="H2764" s="7"/>
      <c r="I2764" s="7"/>
      <c r="J2764" s="7"/>
      <c r="K2764" s="7"/>
      <c r="L2764" s="5"/>
      <c r="M2764" s="5"/>
      <c r="N2764" s="5"/>
      <c r="O2764" s="5"/>
      <c r="P2764" s="5"/>
      <c r="Q2764" s="5"/>
      <c r="R2764" s="5"/>
      <c r="S2764" s="5"/>
      <c r="T2764" s="5"/>
      <c r="U2764" s="5"/>
      <c r="V2764" s="5"/>
      <c r="W2764" s="5"/>
      <c r="X2764" s="5"/>
      <c r="Y2764" s="5"/>
      <c r="Z2764" s="5"/>
    </row>
    <row r="2765" spans="1:26" ht="15.6" x14ac:dyDescent="0.3">
      <c r="A2765" s="18" t="s">
        <v>5</v>
      </c>
      <c r="B2765" s="25" t="s">
        <v>2759</v>
      </c>
      <c r="C2765" s="2" t="str">
        <f ca="1">IFERROR(__xludf.DUMMYFUNCTION("GOOGLETRANSLATE(B2765, ""bn"", ""en"")"),"The Druze have often faced persecution by various Muslim regimes, including massacres, destruction of Druze prayer houses and holy sites, and forced conversion to Islam.")</f>
        <v>The Druze have often faced persecution by various Muslim regimes, including massacres, destruction of Druze prayer houses and holy sites, and forced conversion to Islam.</v>
      </c>
      <c r="D2765" s="6"/>
      <c r="E2765" s="2"/>
      <c r="F2765" s="2"/>
      <c r="G2765" s="2"/>
      <c r="H2765" s="5"/>
      <c r="I2765" s="5"/>
      <c r="J2765" s="5"/>
      <c r="K2765" s="5"/>
      <c r="L2765" s="5"/>
      <c r="M2765" s="5"/>
      <c r="N2765" s="5"/>
      <c r="O2765" s="5"/>
      <c r="P2765" s="5"/>
      <c r="Q2765" s="5"/>
      <c r="R2765" s="5"/>
      <c r="S2765" s="5"/>
      <c r="T2765" s="5"/>
      <c r="U2765" s="5"/>
      <c r="V2765" s="5"/>
      <c r="W2765" s="5"/>
      <c r="X2765" s="5"/>
      <c r="Y2765" s="5"/>
      <c r="Z2765" s="5"/>
    </row>
    <row r="2766" spans="1:26" ht="15.6" x14ac:dyDescent="0.3">
      <c r="A2766" s="18" t="s">
        <v>23</v>
      </c>
      <c r="B2766" s="24" t="s">
        <v>2760</v>
      </c>
      <c r="C2766" s="2" t="str">
        <f ca="1">IFERROR(__xludf.DUMMYFUNCTION("GOOGLETRANSLATE(B2766, ""bn"", ""en"")"),"Some members of the Buddhist community show disrespect towards other religions which is damaging social cohesion.")</f>
        <v>Some members of the Buddhist community show disrespect towards other religions which is damaging social cohesion.</v>
      </c>
      <c r="D2766" s="5"/>
      <c r="E2766" s="5"/>
      <c r="F2766" s="5"/>
      <c r="G2766" s="5"/>
      <c r="H2766" s="5"/>
      <c r="I2766" s="5"/>
      <c r="J2766" s="5"/>
      <c r="K2766" s="5"/>
      <c r="L2766" s="5"/>
      <c r="M2766" s="5"/>
      <c r="N2766" s="5"/>
      <c r="O2766" s="5"/>
      <c r="P2766" s="5"/>
      <c r="Q2766" s="5"/>
      <c r="R2766" s="5"/>
      <c r="S2766" s="5"/>
      <c r="T2766" s="5"/>
      <c r="U2766" s="5"/>
      <c r="V2766" s="5"/>
      <c r="W2766" s="5"/>
      <c r="X2766" s="5"/>
      <c r="Y2766" s="5"/>
      <c r="Z2766" s="5"/>
    </row>
    <row r="2767" spans="1:26" ht="15.6" x14ac:dyDescent="0.3">
      <c r="A2767" s="19" t="s">
        <v>23</v>
      </c>
      <c r="B2767" s="26" t="s">
        <v>2761</v>
      </c>
      <c r="C2767" s="2" t="str">
        <f ca="1">IFERROR(__xludf.DUMMYFUNCTION("GOOGLETRANSLATE(B2767, ""bn"", ""en"")"),"On March 18, Director General of RAB appeared in Shalla and assured that the criminals will be brought under appropriate punishment. [13] Prominent individuals and various organizations in a joint statement condemned the attack by fanatics and demanded to"&amp;" ensure the safety of the victims.")</f>
        <v>On March 18, Director General of RAB appeared in Shalla and assured that the criminals will be brought under appropriate punishment. [13] Prominent individuals and various organizations in a joint statement condemned the attack by fanatics and demanded to ensure the safety of the victims.</v>
      </c>
      <c r="D2767" s="7"/>
      <c r="E2767" s="5"/>
      <c r="F2767" s="5"/>
      <c r="G2767" s="5"/>
      <c r="H2767" s="5"/>
      <c r="I2767" s="5"/>
      <c r="J2767" s="5"/>
      <c r="K2767" s="5"/>
      <c r="L2767" s="5"/>
      <c r="M2767" s="5"/>
      <c r="N2767" s="5"/>
      <c r="O2767" s="5"/>
      <c r="P2767" s="5"/>
      <c r="Q2767" s="5"/>
      <c r="R2767" s="5"/>
      <c r="S2767" s="5"/>
      <c r="T2767" s="5"/>
      <c r="U2767" s="5"/>
      <c r="V2767" s="5"/>
      <c r="W2767" s="5"/>
      <c r="X2767" s="5"/>
      <c r="Y2767" s="5"/>
      <c r="Z2767" s="5"/>
    </row>
    <row r="2768" spans="1:26" ht="15.6" x14ac:dyDescent="0.3">
      <c r="A2768" s="18" t="s">
        <v>8</v>
      </c>
      <c r="B2768" s="25" t="s">
        <v>2762</v>
      </c>
      <c r="C2768" s="2" t="str">
        <f ca="1">IFERROR(__xludf.DUMMYFUNCTION("GOOGLETRANSLATE(B2768, ""bn"", ""en"")"),"Over 50 temples and makeshift worship facilities were vandalized across the country in response to a viral video in which the Quran was placed at the feet of a temple idol, as Muslim mobs incited communal violence against Hindu communities across the coun"&amp;"try during the Durga Puja festival.")</f>
        <v>Over 50 temples and makeshift worship facilities were vandalized across the country in response to a viral video in which the Quran was placed at the feet of a temple idol, as Muslim mobs incited communal violence against Hindu communities across the country during the Durga Puja festival.</v>
      </c>
      <c r="D2768" s="6"/>
      <c r="E2768" s="6"/>
      <c r="F2768" s="6"/>
      <c r="G2768" s="6"/>
      <c r="H2768" s="3"/>
      <c r="I2768" s="3"/>
      <c r="J2768" s="3"/>
      <c r="K2768" s="3"/>
      <c r="L2768" s="3"/>
      <c r="M2768" s="3"/>
      <c r="N2768" s="3"/>
      <c r="O2768" s="3"/>
      <c r="P2768" s="3"/>
      <c r="Q2768" s="3"/>
      <c r="R2768" s="3"/>
      <c r="S2768" s="3"/>
      <c r="T2768" s="3"/>
      <c r="U2768" s="3"/>
      <c r="V2768" s="3"/>
      <c r="W2768" s="3"/>
      <c r="X2768" s="3"/>
      <c r="Y2768" s="3"/>
      <c r="Z2768" s="3"/>
    </row>
    <row r="2769" spans="1:26" ht="15.6" x14ac:dyDescent="0.3">
      <c r="A2769" s="18" t="s">
        <v>3</v>
      </c>
      <c r="B2769" s="25" t="s">
        <v>2763</v>
      </c>
      <c r="C2769" s="2" t="str">
        <f ca="1">IFERROR(__xludf.DUMMYFUNCTION("GOOGLETRANSLATE(B2769, ""bn"", ""en"")"),"Shabbat is one of the holiest festivals in Islam. Every year, Muslims in Japan make special arrangements for this occasion.")</f>
        <v>Shabbat is one of the holiest festivals in Islam. Every year, Muslims in Japan make special arrangements for this occasion.</v>
      </c>
      <c r="D2769" s="2"/>
      <c r="E2769" s="2"/>
      <c r="F2769" s="2"/>
      <c r="G2769" s="2"/>
      <c r="H2769" s="3"/>
      <c r="I2769" s="3"/>
      <c r="J2769" s="3"/>
      <c r="K2769" s="3"/>
      <c r="L2769" s="3"/>
      <c r="M2769" s="3"/>
      <c r="N2769" s="3"/>
      <c r="O2769" s="3"/>
      <c r="P2769" s="3"/>
      <c r="Q2769" s="3"/>
      <c r="R2769" s="3"/>
      <c r="S2769" s="3"/>
      <c r="T2769" s="3"/>
      <c r="U2769" s="3"/>
      <c r="V2769" s="3"/>
      <c r="W2769" s="3"/>
      <c r="X2769" s="3"/>
      <c r="Y2769" s="3"/>
      <c r="Z2769" s="3"/>
    </row>
    <row r="2770" spans="1:26" ht="15.6" x14ac:dyDescent="0.3">
      <c r="A2770" s="19" t="s">
        <v>8</v>
      </c>
      <c r="B2770" s="26" t="s">
        <v>2764</v>
      </c>
      <c r="C2770" s="2" t="str">
        <f ca="1">IFERROR(__xludf.DUMMYFUNCTION("GOOGLETRANSLATE(B2770, ""bn"", ""en"")"),"On October 30, armed Muslims set fire to a Gaudiya monastery south of Bangabhaban and indiscriminately looted and attacked Hindu-owned businesses while the then president of Bangladesh, Hussain Muhammad Ershad, was addressing a youth conference at his res"&amp;"idence, Bangabhaban.")</f>
        <v>On October 30, armed Muslims set fire to a Gaudiya monastery south of Bangabhaban and indiscriminately looted and attacked Hindu-owned businesses while the then president of Bangladesh, Hussain Muhammad Ershad, was addressing a youth conference at his residence, Bangabhaban.</v>
      </c>
      <c r="D2770" s="7"/>
      <c r="E2770" s="7"/>
      <c r="F2770" s="7"/>
      <c r="G2770" s="7"/>
      <c r="H2770" s="7"/>
      <c r="I2770" s="7"/>
      <c r="J2770" s="7"/>
      <c r="K2770" s="7"/>
      <c r="L2770" s="5"/>
      <c r="M2770" s="5"/>
      <c r="N2770" s="5"/>
      <c r="O2770" s="5"/>
      <c r="P2770" s="5"/>
      <c r="Q2770" s="5"/>
      <c r="R2770" s="5"/>
      <c r="S2770" s="5"/>
      <c r="T2770" s="5"/>
      <c r="U2770" s="5"/>
      <c r="V2770" s="5"/>
      <c r="W2770" s="5"/>
      <c r="X2770" s="5"/>
      <c r="Y2770" s="5"/>
      <c r="Z2770" s="5"/>
    </row>
    <row r="2771" spans="1:26" ht="15.6" x14ac:dyDescent="0.3">
      <c r="A2771" s="18" t="s">
        <v>5</v>
      </c>
      <c r="B2771" s="24" t="s">
        <v>2765</v>
      </c>
      <c r="C2771" s="2" t="str">
        <f ca="1">IFERROR(__xludf.DUMMYFUNCTION("GOOGLETRANSLATE(B2771, ""bn"", ""en"")"),"41 people were killed in a suicide bomb attack on a mosque in Patuakhali; Security measures are strengthened.")</f>
        <v>41 people were killed in a suicide bomb attack on a mosque in Patuakhali; Security measures are strengthened.</v>
      </c>
      <c r="D2771" s="5"/>
      <c r="E2771" s="5"/>
      <c r="F2771" s="5"/>
      <c r="G2771" s="5"/>
      <c r="H2771" s="5"/>
      <c r="I2771" s="5"/>
      <c r="J2771" s="5"/>
      <c r="K2771" s="5"/>
      <c r="L2771" s="5"/>
      <c r="M2771" s="5"/>
      <c r="N2771" s="5"/>
      <c r="O2771" s="5"/>
      <c r="P2771" s="5"/>
      <c r="Q2771" s="5"/>
      <c r="R2771" s="5"/>
      <c r="S2771" s="5"/>
      <c r="T2771" s="5"/>
      <c r="U2771" s="5"/>
      <c r="V2771" s="5"/>
      <c r="W2771" s="5"/>
      <c r="X2771" s="5"/>
      <c r="Y2771" s="5"/>
      <c r="Z2771" s="5"/>
    </row>
    <row r="2772" spans="1:26" ht="15.6" x14ac:dyDescent="0.3">
      <c r="A2772" s="19" t="s">
        <v>3</v>
      </c>
      <c r="B2772" s="26" t="s">
        <v>2766</v>
      </c>
      <c r="C2772" s="2" t="str">
        <f ca="1">IFERROR(__xludf.DUMMYFUNCTION("GOOGLETRANSLATE(B2772, ""bn"", ""en"")"),"At first I felt very sorry to see this post. My point is that if you want to save Sanatan Dharma, first educate your sons and daughters in religious education.")</f>
        <v>At first I felt very sorry to see this post. My point is that if you want to save Sanatan Dharma, first educate your sons and daughters in religious education.</v>
      </c>
      <c r="D2772" s="5"/>
      <c r="E2772" s="5"/>
      <c r="F2772" s="5"/>
      <c r="G2772" s="5"/>
      <c r="H2772" s="5"/>
      <c r="I2772" s="5"/>
      <c r="J2772" s="5"/>
      <c r="K2772" s="5"/>
      <c r="L2772" s="5"/>
      <c r="M2772" s="5"/>
      <c r="N2772" s="5"/>
      <c r="O2772" s="5"/>
      <c r="P2772" s="5"/>
      <c r="Q2772" s="5"/>
      <c r="R2772" s="5"/>
      <c r="S2772" s="5"/>
      <c r="T2772" s="5"/>
      <c r="U2772" s="5"/>
      <c r="V2772" s="5"/>
      <c r="W2772" s="5"/>
      <c r="X2772" s="5"/>
      <c r="Y2772" s="5"/>
      <c r="Z2772" s="5"/>
    </row>
    <row r="2773" spans="1:26" ht="15.6" x14ac:dyDescent="0.3">
      <c r="A2773" s="18" t="s">
        <v>3</v>
      </c>
      <c r="B2773" s="25" t="s">
        <v>2767</v>
      </c>
      <c r="C2773" s="2" t="str">
        <f ca="1">IFERROR(__xludf.DUMMYFUNCTION("GOOGLETRANSLATE(B2773, ""bn"", ""en"")"),"This festival is celebrated with special dignity in countries influenced by Buddhism like Arandpur.")</f>
        <v>This festival is celebrated with special dignity in countries influenced by Buddhism like Arandpur.</v>
      </c>
      <c r="D2773" s="2"/>
      <c r="E2773" s="2"/>
      <c r="F2773" s="2"/>
      <c r="G2773" s="2"/>
      <c r="H2773" s="3"/>
      <c r="I2773" s="3"/>
      <c r="J2773" s="3"/>
      <c r="K2773" s="3"/>
      <c r="L2773" s="3"/>
      <c r="M2773" s="3"/>
      <c r="N2773" s="3"/>
      <c r="O2773" s="3"/>
      <c r="P2773" s="3"/>
      <c r="Q2773" s="3"/>
      <c r="R2773" s="3"/>
      <c r="S2773" s="3"/>
      <c r="T2773" s="3"/>
      <c r="U2773" s="3"/>
      <c r="V2773" s="3"/>
      <c r="W2773" s="3"/>
      <c r="X2773" s="3"/>
      <c r="Y2773" s="3"/>
      <c r="Z2773" s="3"/>
    </row>
    <row r="2774" spans="1:26" ht="15.6" x14ac:dyDescent="0.3">
      <c r="A2774" s="19" t="s">
        <v>8</v>
      </c>
      <c r="B2774" s="26" t="s">
        <v>2768</v>
      </c>
      <c r="C2774" s="2" t="str">
        <f ca="1">IFERROR(__xludf.DUMMYFUNCTION("GOOGLETRANSLATE(B2774, ""bn"", ""en"")"),"Incidents of attack and vandalism took place on mandaps in Banshkhali and Karnaphuli upazilas of Chittagong district. The police filed a case naming 83 people, as well as hundreds of unknown persons. [48] The Chittagong Metropolitan Puja Celebration Paris"&amp;"had took a stand against the attack and announced that the idol would not be dedicated until it was secured.")</f>
        <v>Incidents of attack and vandalism took place on mandaps in Banshkhali and Karnaphuli upazilas of Chittagong district. The police filed a case naming 83 people, as well as hundreds of unknown persons. [48] The Chittagong Metropolitan Puja Celebration Parishad took a stand against the attack and announced that the idol would not be dedicated until it was secured.</v>
      </c>
      <c r="D2774" s="7"/>
      <c r="E2774" s="7"/>
      <c r="F2774" s="7"/>
      <c r="G2774" s="7"/>
      <c r="H2774" s="7"/>
      <c r="I2774" s="7"/>
      <c r="J2774" s="7"/>
      <c r="K2774" s="7"/>
      <c r="L2774" s="7"/>
      <c r="M2774" s="7"/>
      <c r="N2774" s="7"/>
      <c r="O2774" s="7"/>
      <c r="P2774" s="7"/>
      <c r="Q2774" s="7"/>
      <c r="R2774" s="7"/>
      <c r="S2774" s="7"/>
      <c r="T2774" s="7"/>
      <c r="U2774" s="7"/>
      <c r="V2774" s="7"/>
      <c r="W2774" s="7"/>
      <c r="X2774" s="7"/>
      <c r="Y2774" s="7"/>
      <c r="Z2774" s="7"/>
    </row>
    <row r="2775" spans="1:26" ht="15.6" x14ac:dyDescent="0.3">
      <c r="A2775" s="18" t="s">
        <v>3</v>
      </c>
      <c r="B2775" s="25" t="s">
        <v>2769</v>
      </c>
      <c r="C2775" s="2" t="str">
        <f ca="1">IFERROR(__xludf.DUMMYFUNCTION("GOOGLETRANSLATE(B2775, ""bn"", ""en"")"),"Religion has always been a sensitive subject and throughout the history of mankind, religion has played an important role in guiding people towards righteousness and spiritual progress.")</f>
        <v>Religion has always been a sensitive subject and throughout the history of mankind, religion has played an important role in guiding people towards righteousness and spiritual progress.</v>
      </c>
      <c r="D2775" s="5"/>
      <c r="E2775" s="5"/>
      <c r="F2775" s="5"/>
      <c r="G2775" s="5"/>
      <c r="H2775" s="5"/>
      <c r="I2775" s="5"/>
      <c r="J2775" s="5"/>
      <c r="K2775" s="5"/>
      <c r="L2775" s="5"/>
      <c r="M2775" s="5"/>
      <c r="N2775" s="5"/>
      <c r="O2775" s="5"/>
      <c r="P2775" s="5"/>
      <c r="Q2775" s="5"/>
      <c r="R2775" s="5"/>
      <c r="S2775" s="5"/>
      <c r="T2775" s="5"/>
      <c r="U2775" s="5"/>
      <c r="V2775" s="5"/>
      <c r="W2775" s="5"/>
      <c r="X2775" s="5"/>
      <c r="Y2775" s="5"/>
      <c r="Z2775" s="5"/>
    </row>
    <row r="2776" spans="1:26" ht="15.6" x14ac:dyDescent="0.3">
      <c r="A2776" s="18" t="s">
        <v>3</v>
      </c>
      <c r="B2776" s="25" t="s">
        <v>2770</v>
      </c>
      <c r="C2776" s="2" t="str">
        <f ca="1">IFERROR(__xludf.DUMMYFUNCTION("GOOGLETRANSLATE(B2776, ""bn"", ""en"")"),"True religion teaches us to be good people, to be compassionate towards others, and to work for the good of all.")</f>
        <v>True religion teaches us to be good people, to be compassionate towards others, and to work for the good of all.</v>
      </c>
      <c r="D2776" s="5"/>
      <c r="E2776" s="5"/>
      <c r="F2776" s="5"/>
      <c r="G2776" s="5"/>
      <c r="H2776" s="5"/>
      <c r="I2776" s="5"/>
      <c r="J2776" s="5"/>
      <c r="K2776" s="5"/>
      <c r="L2776" s="5"/>
      <c r="M2776" s="5"/>
      <c r="N2776" s="5"/>
      <c r="O2776" s="5"/>
      <c r="P2776" s="5"/>
      <c r="Q2776" s="5"/>
      <c r="R2776" s="5"/>
      <c r="S2776" s="5"/>
      <c r="T2776" s="5"/>
      <c r="U2776" s="5"/>
      <c r="V2776" s="5"/>
      <c r="W2776" s="5"/>
      <c r="X2776" s="5"/>
      <c r="Y2776" s="5"/>
      <c r="Z2776" s="5"/>
    </row>
    <row r="2777" spans="1:26" ht="15.6" x14ac:dyDescent="0.3">
      <c r="A2777" s="18" t="s">
        <v>8</v>
      </c>
      <c r="B2777" s="24" t="s">
        <v>2771</v>
      </c>
      <c r="C2777" s="2" t="str">
        <f ca="1">IFERROR(__xludf.DUMMYFUNCTION("GOOGLETRANSLATE(B2777, ""bn"", ""en"")"),"7 January 2023 Miscreants entered a Kali temple in Nabinagar upazila of Brahmanbaria in the early hours of the night and mutilated the eyes and faces of the idols and broke the glass windows of the prayer hall.")</f>
        <v>7 January 2023 Miscreants entered a Kali temple in Nabinagar upazila of Brahmanbaria in the early hours of the night and mutilated the eyes and faces of the idols and broke the glass windows of the prayer hall.</v>
      </c>
      <c r="D2777" s="5"/>
      <c r="E2777" s="5"/>
      <c r="F2777" s="5"/>
      <c r="G2777" s="5"/>
      <c r="H2777" s="5"/>
      <c r="I2777" s="5"/>
      <c r="J2777" s="5"/>
      <c r="K2777" s="5"/>
      <c r="L2777" s="5"/>
      <c r="M2777" s="5"/>
      <c r="N2777" s="5"/>
      <c r="O2777" s="5"/>
      <c r="P2777" s="5"/>
      <c r="Q2777" s="5"/>
      <c r="R2777" s="5"/>
      <c r="S2777" s="5"/>
      <c r="T2777" s="5"/>
      <c r="U2777" s="5"/>
      <c r="V2777" s="5"/>
      <c r="W2777" s="5"/>
      <c r="X2777" s="5"/>
      <c r="Y2777" s="5"/>
      <c r="Z2777" s="5"/>
    </row>
    <row r="2778" spans="1:26" ht="15.6" x14ac:dyDescent="0.3">
      <c r="A2778" s="18" t="s">
        <v>8</v>
      </c>
      <c r="B2778" s="25" t="s">
        <v>2772</v>
      </c>
      <c r="C2778" s="2" t="str">
        <f ca="1">IFERROR(__xludf.DUMMYFUNCTION("GOOGLETRANSLATE(B2778, ""bn"", ""en"")"),"Around 10 am on 22 May around 500 armed men surrounded the village, the villagers gathered at the Barui family house and around 200 Bengali Hindus armed with sticks and spears took up position at Wapda Dam.")</f>
        <v>Around 10 am on 22 May around 500 armed men surrounded the village, the villagers gathered at the Barui family house and around 200 Bengali Hindus armed with sticks and spears took up position at Wapda Dam.</v>
      </c>
      <c r="D2778" s="2"/>
      <c r="E2778" s="2"/>
      <c r="F2778" s="2"/>
      <c r="G2778" s="2"/>
      <c r="H2778" s="3"/>
      <c r="I2778" s="3"/>
      <c r="J2778" s="3"/>
      <c r="K2778" s="3"/>
      <c r="L2778" s="3"/>
      <c r="M2778" s="3"/>
      <c r="N2778" s="3"/>
      <c r="O2778" s="3"/>
      <c r="P2778" s="3"/>
      <c r="Q2778" s="3"/>
      <c r="R2778" s="3"/>
      <c r="S2778" s="3"/>
      <c r="T2778" s="3"/>
      <c r="U2778" s="3"/>
      <c r="V2778" s="3"/>
      <c r="W2778" s="3"/>
      <c r="X2778" s="3"/>
      <c r="Y2778" s="3"/>
      <c r="Z2778" s="3"/>
    </row>
    <row r="2779" spans="1:26" ht="15.6" x14ac:dyDescent="0.3">
      <c r="A2779" s="18" t="s">
        <v>8</v>
      </c>
      <c r="B2779" s="24" t="s">
        <v>2773</v>
      </c>
      <c r="C2779" s="2" t="str">
        <f ca="1">IFERROR(__xludf.DUMMYFUNCTION("GOOGLETRANSLATE(B2779, ""bn"", ""en"")"),"Gayatri idol and Gita book were burnt after entering the Satsanga temple at Lalmonirhat.")</f>
        <v>Gayatri idol and Gita book were burnt after entering the Satsanga temple at Lalmonirhat.</v>
      </c>
      <c r="D2779" s="5"/>
      <c r="E2779" s="5"/>
      <c r="F2779" s="5"/>
      <c r="G2779" s="5"/>
      <c r="H2779" s="5"/>
      <c r="I2779" s="5"/>
      <c r="J2779" s="5"/>
      <c r="K2779" s="5"/>
      <c r="L2779" s="5"/>
      <c r="M2779" s="5"/>
      <c r="N2779" s="5"/>
      <c r="O2779" s="5"/>
      <c r="P2779" s="5"/>
      <c r="Q2779" s="5"/>
      <c r="R2779" s="5"/>
      <c r="S2779" s="5"/>
      <c r="T2779" s="5"/>
      <c r="U2779" s="5"/>
      <c r="V2779" s="5"/>
      <c r="W2779" s="5"/>
      <c r="X2779" s="5"/>
      <c r="Y2779" s="5"/>
      <c r="Z2779" s="5"/>
    </row>
    <row r="2780" spans="1:26" ht="15.6" x14ac:dyDescent="0.3">
      <c r="A2780" s="18" t="s">
        <v>3</v>
      </c>
      <c r="B2780" s="25" t="s">
        <v>2774</v>
      </c>
      <c r="C2780" s="2" t="str">
        <f ca="1">IFERROR(__xludf.DUMMYFUNCTION("GOOGLETRANSLATE(B2780, ""bn"", ""en"")"),"I believe in positive thinking and healthy discussion. Any post against religion or state is not like me, everyone be aware.")</f>
        <v>I believe in positive thinking and healthy discussion. Any post against religion or state is not like me, everyone be aware.</v>
      </c>
      <c r="D2780" s="2"/>
      <c r="E2780" s="2"/>
      <c r="F2780" s="2"/>
      <c r="G2780" s="2"/>
      <c r="H2780" s="3"/>
      <c r="I2780" s="3"/>
      <c r="J2780" s="3"/>
      <c r="K2780" s="3"/>
      <c r="L2780" s="3"/>
      <c r="M2780" s="3"/>
      <c r="N2780" s="3"/>
      <c r="O2780" s="3"/>
      <c r="P2780" s="3"/>
      <c r="Q2780" s="3"/>
      <c r="R2780" s="3"/>
      <c r="S2780" s="3"/>
      <c r="T2780" s="3"/>
      <c r="U2780" s="3"/>
      <c r="V2780" s="3"/>
      <c r="W2780" s="3"/>
      <c r="X2780" s="3"/>
      <c r="Y2780" s="3"/>
      <c r="Z2780" s="3"/>
    </row>
    <row r="2781" spans="1:26" ht="15.6" x14ac:dyDescent="0.3">
      <c r="A2781" s="18" t="s">
        <v>23</v>
      </c>
      <c r="B2781" s="24" t="s">
        <v>802</v>
      </c>
      <c r="C2781" s="2" t="str">
        <f ca="1">IFERROR(__xludf.DUMMYFUNCTION("GOOGLETRANSLATE(B2781, ""bn"", ""en"")"),"Some members of the Buddhist community are creating disharmony in the society by making derogatory comments against other religions.")</f>
        <v>Some members of the Buddhist community are creating disharmony in the society by making derogatory comments against other religions.</v>
      </c>
      <c r="D2781" s="5"/>
      <c r="E2781" s="5"/>
      <c r="F2781" s="5"/>
      <c r="G2781" s="5"/>
      <c r="H2781" s="5"/>
      <c r="I2781" s="5"/>
      <c r="J2781" s="5"/>
      <c r="K2781" s="5"/>
      <c r="L2781" s="5"/>
      <c r="M2781" s="5"/>
      <c r="N2781" s="5"/>
      <c r="O2781" s="5"/>
      <c r="P2781" s="5"/>
      <c r="Q2781" s="5"/>
      <c r="R2781" s="5"/>
      <c r="S2781" s="5"/>
      <c r="T2781" s="5"/>
      <c r="U2781" s="5"/>
      <c r="V2781" s="5"/>
      <c r="W2781" s="5"/>
      <c r="X2781" s="5"/>
      <c r="Y2781" s="5"/>
      <c r="Z2781" s="5"/>
    </row>
    <row r="2782" spans="1:26" ht="15.6" x14ac:dyDescent="0.3">
      <c r="A2782" s="18" t="s">
        <v>5</v>
      </c>
      <c r="B2782" s="24" t="s">
        <v>2775</v>
      </c>
      <c r="C2782" s="2" t="str">
        <f ca="1">IFERROR(__xludf.DUMMYFUNCTION("GOOGLETRANSLATE(B2782, ""bn"", ""en"")"),"In March 2019, 29 people were killed in school riots fueled by sectarian hatred.")</f>
        <v>In March 2019, 29 people were killed in school riots fueled by sectarian hatred.</v>
      </c>
      <c r="D2782" s="5"/>
      <c r="E2782" s="5"/>
      <c r="F2782" s="5"/>
      <c r="G2782" s="5"/>
      <c r="H2782" s="5"/>
      <c r="I2782" s="5"/>
      <c r="J2782" s="5"/>
      <c r="K2782" s="5"/>
      <c r="L2782" s="5"/>
      <c r="M2782" s="5"/>
      <c r="N2782" s="5"/>
      <c r="O2782" s="5"/>
      <c r="P2782" s="5"/>
      <c r="Q2782" s="5"/>
      <c r="R2782" s="5"/>
      <c r="S2782" s="5"/>
      <c r="T2782" s="5"/>
      <c r="U2782" s="5"/>
      <c r="V2782" s="5"/>
      <c r="W2782" s="5"/>
      <c r="X2782" s="5"/>
      <c r="Y2782" s="5"/>
      <c r="Z2782" s="5"/>
    </row>
    <row r="2783" spans="1:26" ht="15.6" x14ac:dyDescent="0.3">
      <c r="A2783" s="18" t="s">
        <v>3</v>
      </c>
      <c r="B2783" s="25" t="s">
        <v>2776</v>
      </c>
      <c r="C2783" s="2" t="str">
        <f ca="1">IFERROR(__xludf.DUMMYFUNCTION("GOOGLETRANSLATE(B2783, ""bn"", ""en"")"),"My point is that we have no objection to Hindu brothers celebrating their religion or festivals.")</f>
        <v>My point is that we have no objection to Hindu brothers celebrating their religion or festivals.</v>
      </c>
      <c r="D2783" s="5"/>
      <c r="E2783" s="5"/>
      <c r="F2783" s="5"/>
      <c r="G2783" s="5"/>
      <c r="H2783" s="5"/>
      <c r="I2783" s="5"/>
      <c r="J2783" s="5"/>
      <c r="K2783" s="5"/>
      <c r="L2783" s="5"/>
      <c r="M2783" s="5"/>
      <c r="N2783" s="5"/>
      <c r="O2783" s="5"/>
      <c r="P2783" s="5"/>
      <c r="Q2783" s="5"/>
      <c r="R2783" s="5"/>
      <c r="S2783" s="5"/>
      <c r="T2783" s="5"/>
      <c r="U2783" s="5"/>
      <c r="V2783" s="5"/>
      <c r="W2783" s="5"/>
      <c r="X2783" s="5"/>
      <c r="Y2783" s="5"/>
      <c r="Z2783" s="5"/>
    </row>
    <row r="2784" spans="1:26" ht="15.6" x14ac:dyDescent="0.3">
      <c r="A2784" s="18" t="s">
        <v>23</v>
      </c>
      <c r="B2784" s="25" t="s">
        <v>2777</v>
      </c>
      <c r="C2784" s="2" t="str">
        <f ca="1">IFERROR(__xludf.DUMMYFUNCTION("GOOGLETRANSLATE(B2784, ""bn"", ""en"")"),"Those who want to punish the newspaper, they are accomplices of murderers, if these bigots are not shut up, freedom of speech will die.")</f>
        <v>Those who want to punish the newspaper, they are accomplices of murderers, if these bigots are not shut up, freedom of speech will die.</v>
      </c>
      <c r="D2784" s="5"/>
      <c r="E2784" s="5"/>
      <c r="F2784" s="5"/>
      <c r="G2784" s="5"/>
      <c r="H2784" s="5"/>
      <c r="I2784" s="5"/>
      <c r="J2784" s="5"/>
      <c r="K2784" s="5"/>
      <c r="L2784" s="5"/>
      <c r="M2784" s="5"/>
      <c r="N2784" s="5"/>
      <c r="O2784" s="5"/>
      <c r="P2784" s="5"/>
      <c r="Q2784" s="5"/>
      <c r="R2784" s="5"/>
      <c r="S2784" s="5"/>
      <c r="T2784" s="5"/>
      <c r="U2784" s="5"/>
      <c r="V2784" s="5"/>
      <c r="W2784" s="5"/>
      <c r="X2784" s="5"/>
      <c r="Y2784" s="5"/>
      <c r="Z2784" s="5"/>
    </row>
    <row r="2785" spans="1:26" ht="15.6" x14ac:dyDescent="0.3">
      <c r="A2785" s="19" t="s">
        <v>23</v>
      </c>
      <c r="B2785" s="26" t="s">
        <v>2778</v>
      </c>
      <c r="C2785" s="2" t="str">
        <f ca="1">IFERROR(__xludf.DUMMYFUNCTION("GOOGLETRANSLATE(B2785, ""bn"", ""en"")"),"We demand strong condemnation of gross inhumanity and prompt arrest and exemplary punishment.")</f>
        <v>We demand strong condemnation of gross inhumanity and prompt arrest and exemplary punishment.</v>
      </c>
      <c r="D2785" s="7"/>
      <c r="E2785" s="5"/>
      <c r="F2785" s="5"/>
      <c r="G2785" s="5"/>
      <c r="H2785" s="5"/>
      <c r="I2785" s="5"/>
      <c r="J2785" s="5"/>
      <c r="K2785" s="5"/>
      <c r="L2785" s="5"/>
      <c r="M2785" s="5"/>
      <c r="N2785" s="5"/>
      <c r="O2785" s="5"/>
      <c r="P2785" s="5"/>
      <c r="Q2785" s="5"/>
      <c r="R2785" s="5"/>
      <c r="S2785" s="5"/>
      <c r="T2785" s="5"/>
      <c r="U2785" s="5"/>
      <c r="V2785" s="5"/>
      <c r="W2785" s="5"/>
      <c r="X2785" s="5"/>
      <c r="Y2785" s="5"/>
      <c r="Z2785" s="5"/>
    </row>
    <row r="2786" spans="1:26" ht="15.6" x14ac:dyDescent="0.3">
      <c r="A2786" s="18" t="s">
        <v>23</v>
      </c>
      <c r="B2786" s="25" t="s">
        <v>2779</v>
      </c>
      <c r="C2786" s="2" t="str">
        <f ca="1">IFERROR(__xludf.DUMMYFUNCTION("GOOGLETRANSLATE(B2786, ""bn"", ""en"")"),"I understand that Jagannath is for Hindus but the rest is for Muslims so why can't they eat iftar there!!!!!?")</f>
        <v>I understand that Jagannath is for Hindus but the rest is for Muslims so why can't they eat iftar there!!!!!?</v>
      </c>
      <c r="D2786" s="5"/>
      <c r="E2786" s="5"/>
      <c r="F2786" s="5"/>
      <c r="G2786" s="5"/>
      <c r="H2786" s="5"/>
      <c r="I2786" s="5"/>
      <c r="J2786" s="5"/>
      <c r="K2786" s="5"/>
      <c r="L2786" s="5"/>
      <c r="M2786" s="5"/>
      <c r="N2786" s="5"/>
      <c r="O2786" s="5"/>
      <c r="P2786" s="5"/>
      <c r="Q2786" s="5"/>
      <c r="R2786" s="5"/>
      <c r="S2786" s="5"/>
      <c r="T2786" s="5"/>
      <c r="U2786" s="5"/>
      <c r="V2786" s="5"/>
      <c r="W2786" s="5"/>
      <c r="X2786" s="5"/>
      <c r="Y2786" s="5"/>
      <c r="Z2786" s="5"/>
    </row>
    <row r="2787" spans="1:26" ht="15.6" x14ac:dyDescent="0.3">
      <c r="A2787" s="18" t="s">
        <v>5</v>
      </c>
      <c r="B2787" s="24" t="s">
        <v>2780</v>
      </c>
      <c r="C2787" s="2" t="str">
        <f ca="1">IFERROR(__xludf.DUMMYFUNCTION("GOOGLETRANSLATE(B2787, ""bn"", ""en"")"),"44 people were killed in the clash due to religious differences in Rajbari. Police tried to maintain peace but violence escalated. The government ordered everyone to maintain peace and religious tolerance. Many families leave the village for safety.")</f>
        <v>44 people were killed in the clash due to religious differences in Rajbari. Police tried to maintain peace but violence escalated. The government ordered everyone to maintain peace and religious tolerance. Many families leave the village for safety.</v>
      </c>
      <c r="D2787" s="5"/>
      <c r="E2787" s="5"/>
      <c r="F2787" s="5"/>
      <c r="G2787" s="5"/>
      <c r="H2787" s="5"/>
      <c r="I2787" s="5"/>
      <c r="J2787" s="5"/>
      <c r="K2787" s="5"/>
      <c r="L2787" s="5"/>
      <c r="M2787" s="5"/>
      <c r="N2787" s="5"/>
      <c r="O2787" s="5"/>
      <c r="P2787" s="5"/>
      <c r="Q2787" s="5"/>
      <c r="R2787" s="5"/>
      <c r="S2787" s="5"/>
      <c r="T2787" s="5"/>
      <c r="U2787" s="5"/>
      <c r="V2787" s="5"/>
      <c r="W2787" s="5"/>
      <c r="X2787" s="5"/>
      <c r="Y2787" s="5"/>
      <c r="Z2787" s="5"/>
    </row>
    <row r="2788" spans="1:26" ht="15.6" x14ac:dyDescent="0.3">
      <c r="A2788" s="19" t="s">
        <v>8</v>
      </c>
      <c r="B2788" s="26" t="s">
        <v>2781</v>
      </c>
      <c r="C2788" s="2" t="str">
        <f ca="1">IFERROR(__xludf.DUMMYFUNCTION("GOOGLETRANSLATE(B2788, ""bn"", ""en"")"),"The 2012 Chirirbandar violence refers to an attack by Islamic extremists on the minority Hindu community on 4 August 2012 in Chirirbandar upazila of Dinajpur district in the Rangpur division of Bangladesh.")</f>
        <v>The 2012 Chirirbandar violence refers to an attack by Islamic extremists on the minority Hindu community on 4 August 2012 in Chirirbandar upazila of Dinajpur district in the Rangpur division of Bangladesh.</v>
      </c>
      <c r="D2788" s="5"/>
      <c r="E2788" s="5"/>
      <c r="F2788" s="5"/>
      <c r="G2788" s="5"/>
      <c r="H2788" s="5"/>
      <c r="I2788" s="5"/>
      <c r="J2788" s="5"/>
      <c r="K2788" s="5"/>
      <c r="L2788" s="5"/>
      <c r="M2788" s="5"/>
      <c r="N2788" s="5"/>
      <c r="O2788" s="5"/>
      <c r="P2788" s="5"/>
      <c r="Q2788" s="5"/>
      <c r="R2788" s="5"/>
      <c r="S2788" s="5"/>
      <c r="T2788" s="5"/>
      <c r="U2788" s="5"/>
      <c r="V2788" s="5"/>
      <c r="W2788" s="5"/>
      <c r="X2788" s="5"/>
      <c r="Y2788" s="5"/>
      <c r="Z2788" s="5"/>
    </row>
    <row r="2789" spans="1:26" ht="15.6" x14ac:dyDescent="0.3">
      <c r="A2789" s="19" t="s">
        <v>23</v>
      </c>
      <c r="B2789" s="26" t="s">
        <v>2782</v>
      </c>
      <c r="C2789" s="2" t="str">
        <f ca="1">IFERROR(__xludf.DUMMYFUNCTION("GOOGLETRANSLATE(B2789, ""bn"", ""en"")"),"There has been a sad repetition in Hindu history where some religious people see Hindus as separate from their moral and personal identity.")</f>
        <v>There has been a sad repetition in Hindu history where some religious people see Hindus as separate from their moral and personal identity.</v>
      </c>
      <c r="D2789" s="7"/>
      <c r="E2789" s="7"/>
      <c r="F2789" s="7"/>
      <c r="G2789" s="7"/>
      <c r="H2789" s="7"/>
      <c r="I2789" s="7"/>
      <c r="J2789" s="7"/>
      <c r="K2789" s="5"/>
      <c r="L2789" s="5"/>
      <c r="M2789" s="5"/>
      <c r="N2789" s="5"/>
      <c r="O2789" s="5"/>
      <c r="P2789" s="5"/>
      <c r="Q2789" s="5"/>
      <c r="R2789" s="5"/>
      <c r="S2789" s="5"/>
      <c r="T2789" s="5"/>
      <c r="U2789" s="5"/>
      <c r="V2789" s="5"/>
      <c r="W2789" s="5"/>
      <c r="X2789" s="5"/>
      <c r="Y2789" s="5"/>
      <c r="Z2789" s="5"/>
    </row>
    <row r="2790" spans="1:26" ht="15.6" x14ac:dyDescent="0.3">
      <c r="A2790" s="18" t="s">
        <v>3</v>
      </c>
      <c r="B2790" s="25" t="s">
        <v>2783</v>
      </c>
      <c r="C2790" s="2" t="str">
        <f ca="1">IFERROR(__xludf.DUMMYFUNCTION("GOOGLETRANSLATE(B2790, ""bn"", ""en"")"),"August 29, 1946 was Eid-ul-Fitr; It is the biggest religious festival of Muslims.")</f>
        <v>August 29, 1946 was Eid-ul-Fitr; It is the biggest religious festival of Muslims.</v>
      </c>
      <c r="D2790" s="7"/>
      <c r="E2790" s="7"/>
      <c r="F2790" s="7"/>
      <c r="G2790" s="2"/>
      <c r="H2790" s="3"/>
      <c r="I2790" s="3"/>
      <c r="J2790" s="3"/>
      <c r="K2790" s="3"/>
      <c r="L2790" s="3"/>
      <c r="M2790" s="3"/>
      <c r="N2790" s="3"/>
      <c r="O2790" s="3"/>
      <c r="P2790" s="3"/>
      <c r="Q2790" s="3"/>
      <c r="R2790" s="3"/>
      <c r="S2790" s="3"/>
      <c r="T2790" s="3"/>
      <c r="U2790" s="3"/>
      <c r="V2790" s="3"/>
      <c r="W2790" s="3"/>
      <c r="X2790" s="3"/>
      <c r="Y2790" s="3"/>
      <c r="Z2790" s="3"/>
    </row>
    <row r="2791" spans="1:26" ht="15.6" x14ac:dyDescent="0.3">
      <c r="A2791" s="18" t="s">
        <v>8</v>
      </c>
      <c r="B2791" s="25" t="s">
        <v>2784</v>
      </c>
      <c r="C2791" s="2" t="str">
        <f ca="1">IFERROR(__xludf.DUMMYFUNCTION("GOOGLETRANSLATE(B2791, ""bn"", ""en"")"),"On October 25, Pirganj Police Station Officer-in-Charge (OC) Sares Chandra said, ""On the day of the incident, Jamaat-Shibir cadres with around 30 motorcycles, led by camp cadre Abdullah Al Mamun, committed violent incidents against the Hindu community in"&amp;" Jelepara.")</f>
        <v>On October 25, Pirganj Police Station Officer-in-Charge (OC) Sares Chandra said, "On the day of the incident, Jamaat-Shibir cadres with around 30 motorcycles, led by camp cadre Abdullah Al Mamun, committed violent incidents against the Hindu community in Jelepara.</v>
      </c>
      <c r="D2791" s="7"/>
      <c r="E2791" s="7"/>
      <c r="F2791" s="7"/>
      <c r="G2791" s="5"/>
      <c r="H2791" s="5"/>
      <c r="I2791" s="5"/>
      <c r="J2791" s="5"/>
      <c r="K2791" s="5"/>
      <c r="L2791" s="5"/>
      <c r="M2791" s="5"/>
      <c r="N2791" s="5"/>
      <c r="O2791" s="5"/>
      <c r="P2791" s="5"/>
      <c r="Q2791" s="5"/>
      <c r="R2791" s="5"/>
      <c r="S2791" s="5"/>
      <c r="T2791" s="5"/>
      <c r="U2791" s="5"/>
      <c r="V2791" s="5"/>
      <c r="W2791" s="5"/>
      <c r="X2791" s="5"/>
      <c r="Y2791" s="5"/>
      <c r="Z2791" s="5"/>
    </row>
    <row r="2792" spans="1:26" ht="15.6" x14ac:dyDescent="0.3">
      <c r="A2792" s="18" t="s">
        <v>5</v>
      </c>
      <c r="B2792" s="24" t="s">
        <v>2785</v>
      </c>
      <c r="C2792" s="2" t="str">
        <f ca="1">IFERROR(__xludf.DUMMYFUNCTION("GOOGLETRANSLATE(B2792, ""bn"", ""en"")"),"A group set fire to a religious temple, killing 30 people.")</f>
        <v>A group set fire to a religious temple, killing 30 people.</v>
      </c>
      <c r="D2792" s="5"/>
      <c r="E2792" s="5"/>
      <c r="F2792" s="5"/>
      <c r="G2792" s="5"/>
      <c r="H2792" s="5"/>
      <c r="I2792" s="5"/>
      <c r="J2792" s="5"/>
      <c r="K2792" s="5"/>
      <c r="L2792" s="5"/>
      <c r="M2792" s="5"/>
      <c r="N2792" s="5"/>
      <c r="O2792" s="5"/>
      <c r="P2792" s="5"/>
      <c r="Q2792" s="5"/>
      <c r="R2792" s="5"/>
      <c r="S2792" s="5"/>
      <c r="T2792" s="5"/>
      <c r="U2792" s="5"/>
      <c r="V2792" s="5"/>
      <c r="W2792" s="5"/>
      <c r="X2792" s="5"/>
      <c r="Y2792" s="5"/>
      <c r="Z2792" s="5"/>
    </row>
    <row r="2793" spans="1:26" ht="15.6" x14ac:dyDescent="0.3">
      <c r="A2793" s="19" t="s">
        <v>8</v>
      </c>
      <c r="B2793" s="26" t="s">
        <v>2786</v>
      </c>
      <c r="C2793" s="2" t="str">
        <f ca="1">IFERROR(__xludf.DUMMYFUNCTION("GOOGLETRANSLATE(B2793, ""bn"", ""en"")"),"Do you know how many mosques have been demolished on illegal land?")</f>
        <v>Do you know how many mosques have been demolished on illegal land?</v>
      </c>
      <c r="D2793" s="5"/>
      <c r="E2793" s="5"/>
      <c r="F2793" s="5"/>
      <c r="G2793" s="5"/>
      <c r="H2793" s="5"/>
      <c r="I2793" s="5"/>
      <c r="J2793" s="5"/>
      <c r="K2793" s="5"/>
      <c r="L2793" s="5"/>
      <c r="M2793" s="5"/>
      <c r="N2793" s="5"/>
      <c r="O2793" s="5"/>
      <c r="P2793" s="5"/>
      <c r="Q2793" s="5"/>
      <c r="R2793" s="5"/>
      <c r="S2793" s="5"/>
      <c r="T2793" s="5"/>
      <c r="U2793" s="5"/>
      <c r="V2793" s="5"/>
      <c r="W2793" s="5"/>
      <c r="X2793" s="5"/>
      <c r="Y2793" s="5"/>
      <c r="Z2793" s="5"/>
    </row>
    <row r="2794" spans="1:26" ht="15.6" x14ac:dyDescent="0.3">
      <c r="A2794" s="19" t="s">
        <v>3</v>
      </c>
      <c r="B2794" s="26" t="s">
        <v>2787</v>
      </c>
      <c r="C2794" s="2" t="str">
        <f ca="1">IFERROR(__xludf.DUMMYFUNCTION("GOOGLETRANSLATE(B2794, ""bn"", ""en"")"),"When Hindus and Muslims live together in peace, their society develops sympathy and cooperation for each other, which lends a helping hand to each other in times of trouble.")</f>
        <v>When Hindus and Muslims live together in peace, their society develops sympathy and cooperation for each other, which lends a helping hand to each other in times of trouble.</v>
      </c>
      <c r="D2794" s="5"/>
      <c r="E2794" s="5"/>
      <c r="F2794" s="5"/>
      <c r="G2794" s="5"/>
      <c r="H2794" s="5"/>
      <c r="I2794" s="5"/>
      <c r="J2794" s="5"/>
      <c r="K2794" s="5"/>
      <c r="L2794" s="5"/>
      <c r="M2794" s="5"/>
      <c r="N2794" s="5"/>
      <c r="O2794" s="5"/>
      <c r="P2794" s="5"/>
      <c r="Q2794" s="5"/>
      <c r="R2794" s="5"/>
      <c r="S2794" s="5"/>
      <c r="T2794" s="5"/>
      <c r="U2794" s="5"/>
      <c r="V2794" s="5"/>
      <c r="W2794" s="5"/>
      <c r="X2794" s="5"/>
      <c r="Y2794" s="5"/>
      <c r="Z2794" s="5"/>
    </row>
    <row r="2795" spans="1:26" ht="15.6" x14ac:dyDescent="0.3">
      <c r="A2795" s="18" t="s">
        <v>3</v>
      </c>
      <c r="B2795" s="25" t="s">
        <v>2788</v>
      </c>
      <c r="C2795" s="2" t="str">
        <f ca="1">IFERROR(__xludf.DUMMYFUNCTION("GOOGLETRANSLATE(B2795, ""bn"", ""en"")"),"Human conscience is a blessing from Allah - which leads to kindness, justice and anti-tyranny.")</f>
        <v>Human conscience is a blessing from Allah - which leads to kindness, justice and anti-tyranny.</v>
      </c>
      <c r="D2795" s="2"/>
      <c r="E2795" s="2"/>
      <c r="F2795" s="2"/>
      <c r="G2795" s="2"/>
      <c r="H2795" s="5"/>
      <c r="I2795" s="5"/>
      <c r="J2795" s="5"/>
      <c r="K2795" s="5"/>
      <c r="L2795" s="5"/>
      <c r="M2795" s="5"/>
      <c r="N2795" s="5"/>
      <c r="O2795" s="5"/>
      <c r="P2795" s="5"/>
      <c r="Q2795" s="5"/>
      <c r="R2795" s="5"/>
      <c r="S2795" s="5"/>
      <c r="T2795" s="5"/>
      <c r="U2795" s="5"/>
      <c r="V2795" s="5"/>
      <c r="W2795" s="5"/>
      <c r="X2795" s="5"/>
      <c r="Y2795" s="5"/>
      <c r="Z2795" s="5"/>
    </row>
    <row r="2796" spans="1:26" ht="15.6" x14ac:dyDescent="0.3">
      <c r="A2796" s="18" t="s">
        <v>8</v>
      </c>
      <c r="B2796" s="25" t="s">
        <v>2789</v>
      </c>
      <c r="C2796" s="2" t="str">
        <f ca="1">IFERROR(__xludf.DUMMYFUNCTION("GOOGLETRANSLATE(B2796, ""bn"", ""en"")"),"The 2017 Gangachara communal violence was an attack on Hindus by Jamaat-e-Islami extremists on November 10, 2017 in Thakurpara and Brahmanpara villages in Gangachara upazila of Rangpur on the pretext of insulting Islam.")</f>
        <v>The 2017 Gangachara communal violence was an attack on Hindus by Jamaat-e-Islami extremists on November 10, 2017 in Thakurpara and Brahmanpara villages in Gangachara upazila of Rangpur on the pretext of insulting Islam.</v>
      </c>
      <c r="D2796" s="6"/>
      <c r="E2796" s="6"/>
      <c r="F2796" s="6"/>
      <c r="G2796" s="6"/>
      <c r="H2796" s="3"/>
      <c r="I2796" s="3"/>
      <c r="J2796" s="3"/>
      <c r="K2796" s="3"/>
      <c r="L2796" s="3"/>
      <c r="M2796" s="3"/>
      <c r="N2796" s="3"/>
      <c r="O2796" s="3"/>
      <c r="P2796" s="3"/>
      <c r="Q2796" s="3"/>
      <c r="R2796" s="3"/>
      <c r="S2796" s="3"/>
      <c r="T2796" s="3"/>
      <c r="U2796" s="3"/>
      <c r="V2796" s="3"/>
      <c r="W2796" s="3"/>
      <c r="X2796" s="3"/>
      <c r="Y2796" s="3"/>
      <c r="Z2796" s="3"/>
    </row>
    <row r="2797" spans="1:26" ht="15.6" x14ac:dyDescent="0.3">
      <c r="A2797" s="18" t="s">
        <v>3</v>
      </c>
      <c r="B2797" s="25" t="s">
        <v>2790</v>
      </c>
      <c r="C2797" s="2" t="str">
        <f ca="1">IFERROR(__xludf.DUMMYFUNCTION("GOOGLETRANSLATE(B2797, ""bn"", ""en"")"),"Buddhist religious architecture is not less in our country. The ancient Sompur Vihar is a monument of Buddhist tradition highlighting the glorious past of Bangladesh.")</f>
        <v>Buddhist religious architecture is not less in our country. The ancient Sompur Vihar is a monument of Buddhist tradition highlighting the glorious past of Bangladesh.</v>
      </c>
      <c r="D2797" s="5"/>
      <c r="E2797" s="5"/>
      <c r="F2797" s="5"/>
      <c r="G2797" s="5"/>
      <c r="H2797" s="5"/>
      <c r="I2797" s="5"/>
      <c r="J2797" s="5"/>
      <c r="K2797" s="5"/>
      <c r="L2797" s="5"/>
      <c r="M2797" s="5"/>
      <c r="N2797" s="5"/>
      <c r="O2797" s="5"/>
      <c r="P2797" s="5"/>
      <c r="Q2797" s="5"/>
      <c r="R2797" s="5"/>
      <c r="S2797" s="5"/>
      <c r="T2797" s="5"/>
      <c r="U2797" s="5"/>
      <c r="V2797" s="5"/>
      <c r="W2797" s="5"/>
      <c r="X2797" s="5"/>
      <c r="Y2797" s="5"/>
      <c r="Z2797" s="5"/>
    </row>
    <row r="2798" spans="1:26" ht="15.6" x14ac:dyDescent="0.3">
      <c r="A2798" s="18" t="s">
        <v>5</v>
      </c>
      <c r="B2798" s="25" t="s">
        <v>2791</v>
      </c>
      <c r="C2798" s="2" t="str">
        <f ca="1">IFERROR(__xludf.DUMMYFUNCTION("GOOGLETRANSLATE(B2798, ""bn"", ""en"")"),"After little resistance, Surendranath Bose was seriously wounded by a sharp weapon. The Muslim crowd burned him alive. When Rajkumar Pal, a doctor from a nearby village, came forward to help, the Muslim miscreants stabbed him.")</f>
        <v>After little resistance, Surendranath Bose was seriously wounded by a sharp weapon. The Muslim crowd burned him alive. When Rajkumar Pal, a doctor from a nearby village, came forward to help, the Muslim miscreants stabbed him.</v>
      </c>
      <c r="D2798" s="6"/>
      <c r="E2798" s="6"/>
      <c r="F2798" s="6"/>
      <c r="G2798" s="6"/>
      <c r="H2798" s="5"/>
      <c r="I2798" s="5"/>
      <c r="J2798" s="5"/>
      <c r="K2798" s="5"/>
      <c r="L2798" s="5"/>
      <c r="M2798" s="5"/>
      <c r="N2798" s="5"/>
      <c r="O2798" s="5"/>
      <c r="P2798" s="5"/>
      <c r="Q2798" s="5"/>
      <c r="R2798" s="5"/>
      <c r="S2798" s="5"/>
      <c r="T2798" s="5"/>
      <c r="U2798" s="5"/>
      <c r="V2798" s="5"/>
      <c r="W2798" s="5"/>
      <c r="X2798" s="5"/>
      <c r="Y2798" s="5"/>
      <c r="Z2798" s="5"/>
    </row>
    <row r="2799" spans="1:26" ht="15.6" x14ac:dyDescent="0.3">
      <c r="A2799" s="18" t="s">
        <v>23</v>
      </c>
      <c r="B2799" s="24" t="s">
        <v>1192</v>
      </c>
      <c r="C2799" s="2" t="str">
        <f ca="1">IFERROR(__xludf.DUMMYFUNCTION("GOOGLETRANSLATE(B2799, ""bn"", ""en"")"),"Extremist groups in the Muslim community are spreading religious extremism and creating hatred against other religions.")</f>
        <v>Extremist groups in the Muslim community are spreading religious extremism and creating hatred against other religions.</v>
      </c>
      <c r="D2799" s="5"/>
      <c r="E2799" s="5"/>
      <c r="F2799" s="5"/>
      <c r="G2799" s="5"/>
      <c r="H2799" s="5"/>
      <c r="I2799" s="5"/>
      <c r="J2799" s="5"/>
      <c r="K2799" s="5"/>
      <c r="L2799" s="5"/>
      <c r="M2799" s="5"/>
      <c r="N2799" s="5"/>
      <c r="O2799" s="5"/>
      <c r="P2799" s="5"/>
      <c r="Q2799" s="5"/>
      <c r="R2799" s="5"/>
      <c r="S2799" s="5"/>
      <c r="T2799" s="5"/>
      <c r="U2799" s="5"/>
      <c r="V2799" s="5"/>
      <c r="W2799" s="5"/>
      <c r="X2799" s="5"/>
      <c r="Y2799" s="5"/>
      <c r="Z2799" s="5"/>
    </row>
    <row r="2800" spans="1:26" ht="15.6" x14ac:dyDescent="0.3">
      <c r="A2800" s="18" t="s">
        <v>23</v>
      </c>
      <c r="B2800" s="25" t="s">
        <v>2792</v>
      </c>
      <c r="C2800" s="2" t="str">
        <f ca="1">IFERROR(__xludf.DUMMYFUNCTION("GOOGLETRANSLATE(B2800, ""bn"", ""en"")"),"There is no dearth of hypocrite Muslims who, behind the veil of religion, disguise themselves as pious, go to the village in the dark of the night and indulge in sin.")</f>
        <v>There is no dearth of hypocrite Muslims who, behind the veil of religion, disguise themselves as pious, go to the village in the dark of the night and indulge in sin.</v>
      </c>
      <c r="D2800" s="2"/>
      <c r="E2800" s="2"/>
      <c r="F2800" s="2"/>
      <c r="G2800" s="2"/>
      <c r="H2800" s="3"/>
      <c r="I2800" s="3"/>
      <c r="J2800" s="3"/>
      <c r="K2800" s="3"/>
      <c r="L2800" s="3"/>
      <c r="M2800" s="3"/>
      <c r="N2800" s="3"/>
      <c r="O2800" s="3"/>
      <c r="P2800" s="3"/>
      <c r="Q2800" s="3"/>
      <c r="R2800" s="3"/>
      <c r="S2800" s="3"/>
      <c r="T2800" s="3"/>
      <c r="U2800" s="3"/>
      <c r="V2800" s="3"/>
      <c r="W2800" s="3"/>
      <c r="X2800" s="3"/>
      <c r="Y2800" s="3"/>
      <c r="Z2800" s="3"/>
    </row>
    <row r="2801" spans="1:26" ht="15.6" x14ac:dyDescent="0.3">
      <c r="A2801" s="18" t="s">
        <v>5</v>
      </c>
      <c r="B2801" s="25" t="s">
        <v>2793</v>
      </c>
      <c r="C2801" s="2" t="str">
        <f ca="1">IFERROR(__xludf.DUMMYFUNCTION("GOOGLETRANSLATE(B2801, ""bn"", ""en"")"),"In rural areas under the control of Tanor, Nachol, Gomstapur police stations, large-scale killings, rapes, looting and arson were started. [36] Hindus' houses were forcibly occupied by Muslims. They gang-raped Hindu women.")</f>
        <v>In rural areas under the control of Tanor, Nachol, Gomstapur police stations, large-scale killings, rapes, looting and arson were started. [36] Hindus' houses were forcibly occupied by Muslims. They gang-raped Hindu women.</v>
      </c>
      <c r="D2801" s="5"/>
      <c r="E2801" s="5"/>
      <c r="F2801" s="5"/>
      <c r="G2801" s="5"/>
      <c r="H2801" s="5"/>
      <c r="I2801" s="5"/>
      <c r="J2801" s="5"/>
      <c r="K2801" s="5"/>
      <c r="L2801" s="5"/>
      <c r="M2801" s="5"/>
      <c r="N2801" s="5"/>
      <c r="O2801" s="5"/>
      <c r="P2801" s="5"/>
      <c r="Q2801" s="5"/>
      <c r="R2801" s="5"/>
      <c r="S2801" s="5"/>
      <c r="T2801" s="5"/>
      <c r="U2801" s="5"/>
      <c r="V2801" s="5"/>
      <c r="W2801" s="5"/>
      <c r="X2801" s="5"/>
      <c r="Y2801" s="5"/>
      <c r="Z2801" s="5"/>
    </row>
    <row r="2802" spans="1:26" ht="15.6" x14ac:dyDescent="0.3">
      <c r="A2802" s="18" t="s">
        <v>23</v>
      </c>
      <c r="B2802" s="25" t="s">
        <v>2794</v>
      </c>
      <c r="C2802" s="2" t="str">
        <f ca="1">IFERROR(__xludf.DUMMYFUNCTION("GOOGLETRANSLATE(B2802, ""bn"", ""en"")"),"Attempts are being made to create unrest in Bangladesh by spreading rumors about Islam and the Prophet, which the government has banned.")</f>
        <v>Attempts are being made to create unrest in Bangladesh by spreading rumors about Islam and the Prophet, which the government has banned.</v>
      </c>
      <c r="D2802" s="2"/>
      <c r="E2802" s="2"/>
      <c r="F2802" s="2"/>
      <c r="G2802" s="2"/>
      <c r="H2802" s="3"/>
      <c r="I2802" s="3"/>
      <c r="J2802" s="3"/>
      <c r="K2802" s="3"/>
      <c r="L2802" s="3"/>
      <c r="M2802" s="3"/>
      <c r="N2802" s="3"/>
      <c r="O2802" s="3"/>
      <c r="P2802" s="3"/>
      <c r="Q2802" s="3"/>
      <c r="R2802" s="3"/>
      <c r="S2802" s="3"/>
      <c r="T2802" s="3"/>
      <c r="U2802" s="3"/>
      <c r="V2802" s="3"/>
      <c r="W2802" s="3"/>
      <c r="X2802" s="3"/>
      <c r="Y2802" s="3"/>
      <c r="Z2802" s="3"/>
    </row>
    <row r="2803" spans="1:26" ht="15.6" x14ac:dyDescent="0.3">
      <c r="A2803" s="18" t="s">
        <v>5</v>
      </c>
      <c r="B2803" s="25" t="s">
        <v>2795</v>
      </c>
      <c r="C2803" s="2" t="str">
        <f ca="1">IFERROR(__xludf.DUMMYFUNCTION("GOOGLETRANSLATE(B2803, ""bn"", ""en"")"),"The Secretary General of Bangladesh National Hindu Mahazot Govinda Chandra Pramanik claimed that 79 people of the minority Hindu community of the country have been killed till June 30 of this year. During this time, 620 people have been threatened to kill"&amp;", 145 people have been attempted to kill, 183 people have been injured and 32 people have gone missing.")</f>
        <v>The Secretary General of Bangladesh National Hindu Mahazot Govinda Chandra Pramanik claimed that 79 people of the minority Hindu community of the country have been killed till June 30 of this year. During this time, 620 people have been threatened to kill, 145 people have been attempted to kill, 183 people have been injured and 32 people have gone missing.</v>
      </c>
      <c r="D2803" s="5"/>
      <c r="E2803" s="5"/>
      <c r="F2803" s="5"/>
      <c r="G2803" s="5"/>
      <c r="H2803" s="5"/>
      <c r="I2803" s="5"/>
      <c r="J2803" s="5"/>
      <c r="K2803" s="5"/>
      <c r="L2803" s="5"/>
      <c r="M2803" s="5"/>
      <c r="N2803" s="5"/>
      <c r="O2803" s="5"/>
      <c r="P2803" s="5"/>
      <c r="Q2803" s="5"/>
      <c r="R2803" s="5"/>
      <c r="S2803" s="5"/>
      <c r="T2803" s="5"/>
      <c r="U2803" s="5"/>
      <c r="V2803" s="5"/>
      <c r="W2803" s="5"/>
      <c r="X2803" s="5"/>
      <c r="Y2803" s="5"/>
      <c r="Z2803" s="5"/>
    </row>
    <row r="2804" spans="1:26" ht="15.6" x14ac:dyDescent="0.3">
      <c r="A2804" s="18" t="s">
        <v>3</v>
      </c>
      <c r="B2804" s="25" t="s">
        <v>2796</v>
      </c>
      <c r="C2804" s="2" t="str">
        <f ca="1">IFERROR(__xludf.DUMMYFUNCTION("GOOGLETRANSLATE(B2804, ""bn"", ""en"")"),"If we follow Allah's guidance, we will have patience and peace during difficult times in our lives.")</f>
        <v>If we follow Allah's guidance, we will have patience and peace during difficult times in our lives.</v>
      </c>
      <c r="D2804" s="5"/>
      <c r="E2804" s="5"/>
      <c r="F2804" s="5"/>
      <c r="G2804" s="5"/>
      <c r="H2804" s="5"/>
      <c r="I2804" s="5"/>
      <c r="J2804" s="5"/>
      <c r="K2804" s="5"/>
      <c r="L2804" s="5"/>
      <c r="M2804" s="5"/>
      <c r="N2804" s="5"/>
      <c r="O2804" s="5"/>
      <c r="P2804" s="5"/>
      <c r="Q2804" s="5"/>
      <c r="R2804" s="5"/>
      <c r="S2804" s="5"/>
      <c r="T2804" s="5"/>
      <c r="U2804" s="5"/>
      <c r="V2804" s="5"/>
      <c r="W2804" s="5"/>
      <c r="X2804" s="5"/>
      <c r="Y2804" s="5"/>
      <c r="Z2804" s="5"/>
    </row>
    <row r="2805" spans="1:26" ht="15.6" x14ac:dyDescent="0.3">
      <c r="A2805" s="18" t="s">
        <v>3</v>
      </c>
      <c r="B2805" s="25" t="s">
        <v>2797</v>
      </c>
      <c r="C2805" s="2" t="str">
        <f ca="1">IFERROR(__xludf.DUMMYFUNCTION("GOOGLETRANSLATE(B2805, ""bn"", ""en"")"),"Obedience to Allah's commands keeps our body and mind calm, and keeps us on the right path, which helps us achieve our goals in life.")</f>
        <v>Obedience to Allah's commands keeps our body and mind calm, and keeps us on the right path, which helps us achieve our goals in life.</v>
      </c>
      <c r="D2805" s="5"/>
      <c r="E2805" s="5"/>
      <c r="F2805" s="5"/>
      <c r="G2805" s="5"/>
      <c r="H2805" s="5"/>
      <c r="I2805" s="5"/>
      <c r="J2805" s="5"/>
      <c r="K2805" s="5"/>
      <c r="L2805" s="5"/>
      <c r="M2805" s="5"/>
      <c r="N2805" s="5"/>
      <c r="O2805" s="5"/>
      <c r="P2805" s="5"/>
      <c r="Q2805" s="5"/>
      <c r="R2805" s="5"/>
      <c r="S2805" s="5"/>
      <c r="T2805" s="5"/>
      <c r="U2805" s="5"/>
      <c r="V2805" s="5"/>
      <c r="W2805" s="5"/>
      <c r="X2805" s="5"/>
      <c r="Y2805" s="5"/>
      <c r="Z2805" s="5"/>
    </row>
    <row r="2806" spans="1:26" ht="15.6" x14ac:dyDescent="0.3">
      <c r="A2806" s="19" t="s">
        <v>3</v>
      </c>
      <c r="B2806" s="26" t="s">
        <v>2798</v>
      </c>
      <c r="C2806" s="2" t="str">
        <f ca="1">IFERROR(__xludf.DUMMYFUNCTION("GOOGLETRANSLATE(B2806, ""bn"", ""en"")"),"Buddha's ancestors were Hindus. Buddha was the only renunciate. He was a true believer. His sayings are found in the Vedas. I revere, worship, bow down to the Buddha.")</f>
        <v>Buddha's ancestors were Hindus. Buddha was the only renunciate. He was a true believer. His sayings are found in the Vedas. I revere, worship, bow down to the Buddha.</v>
      </c>
      <c r="D2806" s="5"/>
      <c r="E2806" s="5"/>
      <c r="F2806" s="5"/>
      <c r="G2806" s="5"/>
      <c r="H2806" s="5"/>
      <c r="I2806" s="5"/>
      <c r="J2806" s="5"/>
      <c r="K2806" s="5"/>
      <c r="L2806" s="5"/>
      <c r="M2806" s="5"/>
      <c r="N2806" s="5"/>
      <c r="O2806" s="5"/>
      <c r="P2806" s="5"/>
      <c r="Q2806" s="5"/>
      <c r="R2806" s="5"/>
      <c r="S2806" s="5"/>
      <c r="T2806" s="5"/>
      <c r="U2806" s="5"/>
      <c r="V2806" s="5"/>
      <c r="W2806" s="5"/>
      <c r="X2806" s="5"/>
      <c r="Y2806" s="5"/>
      <c r="Z2806" s="5"/>
    </row>
    <row r="2807" spans="1:26" ht="15.6" x14ac:dyDescent="0.3">
      <c r="A2807" s="19" t="s">
        <v>5</v>
      </c>
      <c r="B2807" s="26" t="s">
        <v>2799</v>
      </c>
      <c r="C2807" s="2" t="str">
        <f ca="1">IFERROR(__xludf.DUMMYFUNCTION("GOOGLETRANSLATE(B2807, ""bn"", ""en"")"),"Islamic extremists attacked and killed 12 people in Bangladesh after a magazine published a caricature of Islam's prophet, sparking religious tensions.")</f>
        <v>Islamic extremists attacked and killed 12 people in Bangladesh after a magazine published a caricature of Islam's prophet, sparking religious tensions.</v>
      </c>
      <c r="D2807" s="7"/>
      <c r="E2807" s="7"/>
      <c r="F2807" s="7"/>
      <c r="G2807" s="7"/>
      <c r="H2807" s="7"/>
      <c r="I2807" s="7"/>
      <c r="J2807" s="7"/>
      <c r="K2807" s="7"/>
      <c r="L2807" s="5"/>
      <c r="M2807" s="5"/>
      <c r="N2807" s="5"/>
      <c r="O2807" s="5"/>
      <c r="P2807" s="5"/>
      <c r="Q2807" s="5"/>
      <c r="R2807" s="5"/>
      <c r="S2807" s="5"/>
      <c r="T2807" s="5"/>
      <c r="U2807" s="5"/>
      <c r="V2807" s="5"/>
      <c r="W2807" s="5"/>
      <c r="X2807" s="5"/>
      <c r="Y2807" s="5"/>
      <c r="Z2807" s="5"/>
    </row>
    <row r="2808" spans="1:26" ht="15.6" x14ac:dyDescent="0.3">
      <c r="A2808" s="18" t="s">
        <v>23</v>
      </c>
      <c r="B2808" s="24" t="s">
        <v>2800</v>
      </c>
      <c r="C2808" s="2" t="str">
        <f ca="1">IFERROR(__xludf.DUMMYFUNCTION("GOOGLETRANSLATE(B2808, ""bn"", ""en"")"),"Some extremist groups among Muslims believe that their religion is superior to other religions and insult others and cause violence.")</f>
        <v>Some extremist groups among Muslims believe that their religion is superior to other religions and insult others and cause violence.</v>
      </c>
      <c r="D2808" s="5"/>
      <c r="E2808" s="5"/>
      <c r="F2808" s="5"/>
      <c r="G2808" s="5"/>
      <c r="H2808" s="5"/>
      <c r="I2808" s="5"/>
      <c r="J2808" s="5"/>
      <c r="K2808" s="5"/>
      <c r="L2808" s="5"/>
      <c r="M2808" s="5"/>
      <c r="N2808" s="5"/>
      <c r="O2808" s="5"/>
      <c r="P2808" s="5"/>
      <c r="Q2808" s="5"/>
      <c r="R2808" s="5"/>
      <c r="S2808" s="5"/>
      <c r="T2808" s="5"/>
      <c r="U2808" s="5"/>
      <c r="V2808" s="5"/>
      <c r="W2808" s="5"/>
      <c r="X2808" s="5"/>
      <c r="Y2808" s="5"/>
      <c r="Z2808" s="5"/>
    </row>
    <row r="2809" spans="1:26" ht="15.6" x14ac:dyDescent="0.3">
      <c r="A2809" s="18" t="s">
        <v>3</v>
      </c>
      <c r="B2809" s="25" t="s">
        <v>2801</v>
      </c>
      <c r="C2809" s="2" t="str">
        <f ca="1">IFERROR(__xludf.DUMMYFUNCTION("GOOGLETRANSLATE(B2809, ""bn"", ""en"")"),"Quran is the main and main religious book of Islam. Muslims believe that it is the Word of God that was gradually revealed to Muhammad over 23 years through the archangel Gabriel.")</f>
        <v>Quran is the main and main religious book of Islam. Muslims believe that it is the Word of God that was gradually revealed to Muhammad over 23 years through the archangel Gabriel.</v>
      </c>
      <c r="D2809" s="2"/>
      <c r="E2809" s="2"/>
      <c r="F2809" s="2"/>
      <c r="G2809" s="2"/>
      <c r="H2809" s="3"/>
      <c r="I2809" s="3"/>
      <c r="J2809" s="3"/>
      <c r="K2809" s="3"/>
      <c r="L2809" s="3"/>
      <c r="M2809" s="3"/>
      <c r="N2809" s="3"/>
      <c r="O2809" s="3"/>
      <c r="P2809" s="3"/>
      <c r="Q2809" s="3"/>
      <c r="R2809" s="3"/>
      <c r="S2809" s="3"/>
      <c r="T2809" s="3"/>
      <c r="U2809" s="3"/>
      <c r="V2809" s="3"/>
      <c r="W2809" s="3"/>
      <c r="X2809" s="3"/>
      <c r="Y2809" s="3"/>
      <c r="Z2809" s="3"/>
    </row>
    <row r="2810" spans="1:26" ht="15.6" x14ac:dyDescent="0.3">
      <c r="A2810" s="18" t="s">
        <v>8</v>
      </c>
      <c r="B2810" s="25" t="s">
        <v>2802</v>
      </c>
      <c r="C2810" s="2" t="str">
        <f ca="1">IFERROR(__xludf.DUMMYFUNCTION("GOOGLETRANSLATE(B2810, ""bn"", ""en"")"),"In the name of revenge, clashes are waged in the name of religion, which creates a form of religious incitement and violence.")</f>
        <v>In the name of revenge, clashes are waged in the name of religion, which creates a form of religious incitement and violence.</v>
      </c>
      <c r="D2810" s="5"/>
      <c r="E2810" s="5"/>
      <c r="F2810" s="5"/>
      <c r="G2810" s="5"/>
      <c r="H2810" s="5"/>
      <c r="I2810" s="5"/>
      <c r="J2810" s="5"/>
      <c r="K2810" s="5"/>
      <c r="L2810" s="5"/>
      <c r="M2810" s="5"/>
      <c r="N2810" s="5"/>
      <c r="O2810" s="5"/>
      <c r="P2810" s="5"/>
      <c r="Q2810" s="5"/>
      <c r="R2810" s="5"/>
      <c r="S2810" s="5"/>
      <c r="T2810" s="5"/>
      <c r="U2810" s="5"/>
      <c r="V2810" s="5"/>
      <c r="W2810" s="5"/>
      <c r="X2810" s="5"/>
      <c r="Y2810" s="5"/>
      <c r="Z2810" s="5"/>
    </row>
    <row r="2811" spans="1:26" ht="15.6" x14ac:dyDescent="0.3">
      <c r="A2811" s="19" t="s">
        <v>5</v>
      </c>
      <c r="B2811" s="26" t="s">
        <v>2803</v>
      </c>
      <c r="C2811" s="2" t="str">
        <f ca="1">IFERROR(__xludf.DUMMYFUNCTION("GOOGLETRANSLATE(B2811, ""bn"", ""en"")"),"In particular, the residences of the Hindu laborers of Dhakeswari Cotton Mill No. 2 were subjected to this heinous attack and were burnt to ashes. The manager of the mill Satyen Roy informed the managing director Sunil Bose about 3 am and immediately told"&amp;" about the need of police and army.")</f>
        <v>In particular, the residences of the Hindu laborers of Dhakeswari Cotton Mill No. 2 were subjected to this heinous attack and were burnt to ashes. The manager of the mill Satyen Roy informed the managing director Sunil Bose about 3 am and immediately told about the need of police and army.</v>
      </c>
      <c r="D2811" s="7"/>
      <c r="E2811" s="7"/>
      <c r="F2811" s="7"/>
      <c r="G2811" s="7"/>
      <c r="H2811" s="7"/>
      <c r="I2811" s="7"/>
      <c r="J2811" s="7"/>
      <c r="K2811" s="7"/>
      <c r="L2811" s="7"/>
      <c r="M2811" s="7"/>
      <c r="N2811" s="7"/>
      <c r="O2811" s="7"/>
      <c r="P2811" s="7"/>
      <c r="Q2811" s="7"/>
      <c r="R2811" s="7"/>
      <c r="S2811" s="5"/>
      <c r="T2811" s="5"/>
      <c r="U2811" s="5"/>
      <c r="V2811" s="5"/>
      <c r="W2811" s="5"/>
      <c r="X2811" s="5"/>
      <c r="Y2811" s="5"/>
      <c r="Z2811" s="5"/>
    </row>
    <row r="2812" spans="1:26" ht="15.6" x14ac:dyDescent="0.3">
      <c r="A2812" s="18" t="s">
        <v>3</v>
      </c>
      <c r="B2812" s="25" t="s">
        <v>2804</v>
      </c>
      <c r="C2812" s="2" t="str">
        <f ca="1">IFERROR(__xludf.DUMMYFUNCTION("GOOGLETRANSLATE(B2812, ""bn"", ""en"")"),"To demonstrate loyalty and goodwill, Allah calls in the Qur'an to show love and respect to all people, even if they belong to different religions.")</f>
        <v>To demonstrate loyalty and goodwill, Allah calls in the Qur'an to show love and respect to all people, even if they belong to different religions.</v>
      </c>
      <c r="D2812" s="7"/>
      <c r="E2812" s="7"/>
      <c r="F2812" s="7"/>
      <c r="G2812" s="7"/>
      <c r="H2812" s="5"/>
      <c r="I2812" s="5"/>
      <c r="J2812" s="5"/>
      <c r="K2812" s="5"/>
      <c r="L2812" s="5"/>
      <c r="M2812" s="5"/>
      <c r="N2812" s="5"/>
      <c r="O2812" s="5"/>
      <c r="P2812" s="5"/>
      <c r="Q2812" s="5"/>
      <c r="R2812" s="5"/>
      <c r="S2812" s="5"/>
      <c r="T2812" s="5"/>
      <c r="U2812" s="5"/>
      <c r="V2812" s="5"/>
      <c r="W2812" s="5"/>
      <c r="X2812" s="5"/>
      <c r="Y2812" s="5"/>
      <c r="Z2812" s="5"/>
    </row>
    <row r="2813" spans="1:26" ht="15.6" x14ac:dyDescent="0.3">
      <c r="A2813" s="18" t="s">
        <v>3</v>
      </c>
      <c r="B2813" s="25" t="s">
        <v>2805</v>
      </c>
      <c r="C2813" s="2" t="str">
        <f ca="1">IFERROR(__xludf.DUMMYFUNCTION("GOOGLETRANSLATE(B2813, ""bn"", ""en"")"),"Alhamdulillah, I also feel different when I hear this, I cry too. Every time I listen to this video, a different kind of peace works in me.")</f>
        <v>Alhamdulillah, I also feel different when I hear this, I cry too. Every time I listen to this video, a different kind of peace works in me.</v>
      </c>
      <c r="D2813" s="2"/>
      <c r="E2813" s="2"/>
      <c r="F2813" s="2"/>
      <c r="G2813" s="2"/>
      <c r="H2813" s="5"/>
      <c r="I2813" s="5"/>
      <c r="J2813" s="5"/>
      <c r="K2813" s="5"/>
      <c r="L2813" s="5"/>
      <c r="M2813" s="5"/>
      <c r="N2813" s="5"/>
      <c r="O2813" s="5"/>
      <c r="P2813" s="5"/>
      <c r="Q2813" s="5"/>
      <c r="R2813" s="5"/>
      <c r="S2813" s="5"/>
      <c r="T2813" s="5"/>
      <c r="U2813" s="5"/>
      <c r="V2813" s="5"/>
      <c r="W2813" s="5"/>
      <c r="X2813" s="5"/>
      <c r="Y2813" s="5"/>
      <c r="Z2813" s="5"/>
    </row>
    <row r="2814" spans="1:26" ht="15.6" x14ac:dyDescent="0.3">
      <c r="A2814" s="19" t="s">
        <v>3</v>
      </c>
      <c r="B2814" s="26" t="s">
        <v>2806</v>
      </c>
      <c r="C2814" s="2" t="str">
        <f ca="1">IFERROR(__xludf.DUMMYFUNCTION("GOOGLETRANSLATE(B2814, ""bn"", ""en"")"),"The above words of the Prophet will also be followed: contrast with the Gentiles.")</f>
        <v>The above words of the Prophet will also be followed: contrast with the Gentiles.</v>
      </c>
      <c r="D2814" s="5"/>
      <c r="E2814" s="5"/>
      <c r="F2814" s="5"/>
      <c r="G2814" s="5"/>
      <c r="H2814" s="5"/>
      <c r="I2814" s="5"/>
      <c r="J2814" s="5"/>
      <c r="K2814" s="5"/>
      <c r="L2814" s="5"/>
      <c r="M2814" s="5"/>
      <c r="N2814" s="5"/>
      <c r="O2814" s="5"/>
      <c r="P2814" s="5"/>
      <c r="Q2814" s="5"/>
      <c r="R2814" s="5"/>
      <c r="S2814" s="5"/>
      <c r="T2814" s="5"/>
      <c r="U2814" s="5"/>
      <c r="V2814" s="5"/>
      <c r="W2814" s="5"/>
      <c r="X2814" s="5"/>
      <c r="Y2814" s="5"/>
      <c r="Z2814" s="5"/>
    </row>
    <row r="2815" spans="1:26" ht="15.6" x14ac:dyDescent="0.3">
      <c r="A2815" s="19" t="s">
        <v>8</v>
      </c>
      <c r="B2815" s="26" t="s">
        <v>2807</v>
      </c>
      <c r="C2815" s="2" t="str">
        <f ca="1">IFERROR(__xludf.DUMMYFUNCTION("GOOGLETRANSLATE(B2815, ""bn"", ""en"")"),"About 1,500 Hindu families of Chawkbazar had to flee their homes due to the midnight attack by Muslims. About 200 Muslims vandalized Hindu temples and looted businesses in Riazuddin Bazar.")</f>
        <v>About 1,500 Hindu families of Chawkbazar had to flee their homes due to the midnight attack by Muslims. About 200 Muslims vandalized Hindu temples and looted businesses in Riazuddin Bazar.</v>
      </c>
      <c r="D2815" s="7"/>
      <c r="E2815" s="7"/>
      <c r="F2815" s="7"/>
      <c r="G2815" s="7"/>
      <c r="H2815" s="7"/>
      <c r="I2815" s="7"/>
      <c r="J2815" s="7"/>
      <c r="K2815" s="7"/>
      <c r="L2815" s="7"/>
      <c r="M2815" s="7"/>
      <c r="N2815" s="7"/>
      <c r="O2815" s="5"/>
      <c r="P2815" s="5"/>
      <c r="Q2815" s="5"/>
      <c r="R2815" s="5"/>
      <c r="S2815" s="5"/>
      <c r="T2815" s="5"/>
      <c r="U2815" s="5"/>
      <c r="V2815" s="5"/>
      <c r="W2815" s="5"/>
      <c r="X2815" s="5"/>
      <c r="Y2815" s="5"/>
      <c r="Z2815" s="5"/>
    </row>
    <row r="2816" spans="1:26" ht="15.6" x14ac:dyDescent="0.3">
      <c r="A2816" s="19" t="s">
        <v>8</v>
      </c>
      <c r="B2816" s="26" t="s">
        <v>2808</v>
      </c>
      <c r="C2816" s="2" t="str">
        <f ca="1">IFERROR(__xludf.DUMMYFUNCTION("GOOGLETRANSLATE(B2816, ""bn"", ""en"")"),"Mobs destroyed 12 Buddhist temples and monasteries and 50 houses in response to fake Facebook accounts tagging images of Quran desecration.")</f>
        <v>Mobs destroyed 12 Buddhist temples and monasteries and 50 houses in response to fake Facebook accounts tagging images of Quran desecration.</v>
      </c>
      <c r="D2816" s="7"/>
      <c r="E2816" s="7"/>
      <c r="F2816" s="7"/>
      <c r="G2816" s="7"/>
      <c r="H2816" s="7"/>
      <c r="I2816" s="7"/>
      <c r="J2816" s="5"/>
      <c r="K2816" s="5"/>
      <c r="L2816" s="5"/>
      <c r="M2816" s="5"/>
      <c r="N2816" s="5"/>
      <c r="O2816" s="5"/>
      <c r="P2816" s="5"/>
      <c r="Q2816" s="5"/>
      <c r="R2816" s="5"/>
      <c r="S2816" s="5"/>
      <c r="T2816" s="5"/>
      <c r="U2816" s="5"/>
      <c r="V2816" s="5"/>
      <c r="W2816" s="5"/>
      <c r="X2816" s="5"/>
      <c r="Y2816" s="5"/>
      <c r="Z2816" s="5"/>
    </row>
    <row r="2817" spans="1:26" ht="15.6" x14ac:dyDescent="0.3">
      <c r="A2817" s="19" t="s">
        <v>5</v>
      </c>
      <c r="B2817" s="26" t="s">
        <v>2809</v>
      </c>
      <c r="C2817" s="2" t="str">
        <f ca="1">IFERROR(__xludf.DUMMYFUNCTION("GOOGLETRANSLATE(B2817, ""bn"", ""en"")"),"Junaid Hafeez's first lawyer was shot dead in 2014 after taking charge of the case.")</f>
        <v>Junaid Hafeez's first lawyer was shot dead in 2014 after taking charge of the case.</v>
      </c>
      <c r="D2817" s="7"/>
      <c r="E2817" s="7"/>
      <c r="F2817" s="7"/>
      <c r="G2817" s="5"/>
      <c r="H2817" s="5"/>
      <c r="I2817" s="5"/>
      <c r="J2817" s="5"/>
      <c r="K2817" s="5"/>
      <c r="L2817" s="5"/>
      <c r="M2817" s="5"/>
      <c r="N2817" s="5"/>
      <c r="O2817" s="5"/>
      <c r="P2817" s="5"/>
      <c r="Q2817" s="5"/>
      <c r="R2817" s="5"/>
      <c r="S2817" s="5"/>
      <c r="T2817" s="5"/>
      <c r="U2817" s="5"/>
      <c r="V2817" s="5"/>
      <c r="W2817" s="5"/>
      <c r="X2817" s="5"/>
      <c r="Y2817" s="5"/>
      <c r="Z2817" s="5"/>
    </row>
    <row r="2818" spans="1:26" ht="15.6" x14ac:dyDescent="0.3">
      <c r="A2818" s="18" t="s">
        <v>3</v>
      </c>
      <c r="B2818" s="25" t="s">
        <v>2810</v>
      </c>
      <c r="C2818" s="2" t="str">
        <f ca="1">IFERROR(__xludf.DUMMYFUNCTION("GOOGLETRANSLATE(B2818, ""bn"", ""en"")"),"Sylhet Hindus, Jews and Christians of Bangladesh often use the word Allah to mean God.")</f>
        <v>Sylhet Hindus, Jews and Christians of Bangladesh often use the word Allah to mean God.</v>
      </c>
      <c r="D2818" s="2"/>
      <c r="E2818" s="2"/>
      <c r="F2818" s="2"/>
      <c r="G2818" s="2"/>
      <c r="H2818" s="5"/>
      <c r="I2818" s="5"/>
      <c r="J2818" s="5"/>
      <c r="K2818" s="5"/>
      <c r="L2818" s="5"/>
      <c r="M2818" s="5"/>
      <c r="N2818" s="5"/>
      <c r="O2818" s="5"/>
      <c r="P2818" s="5"/>
      <c r="Q2818" s="5"/>
      <c r="R2818" s="5"/>
      <c r="S2818" s="5"/>
      <c r="T2818" s="5"/>
      <c r="U2818" s="5"/>
      <c r="V2818" s="5"/>
      <c r="W2818" s="5"/>
      <c r="X2818" s="5"/>
      <c r="Y2818" s="5"/>
      <c r="Z2818" s="5"/>
    </row>
    <row r="2819" spans="1:26" ht="15.6" x14ac:dyDescent="0.3">
      <c r="A2819" s="18" t="s">
        <v>3</v>
      </c>
      <c r="B2819" s="25" t="s">
        <v>2811</v>
      </c>
      <c r="C2819" s="2" t="str">
        <f ca="1">IFERROR(__xludf.DUMMYFUNCTION("GOOGLETRANSLATE(B2819, ""bn"", ""en"")"),"Whenever mind is restless, watch this video. By the mercy of God, I get peace of mind, worries disappear. I believe because he is there, everything will be fine inshallah.")</f>
        <v>Whenever mind is restless, watch this video. By the mercy of God, I get peace of mind, worries disappear. I believe because he is there, everything will be fine inshallah.</v>
      </c>
      <c r="D2819" s="5"/>
      <c r="E2819" s="5"/>
      <c r="F2819" s="5"/>
      <c r="G2819" s="5"/>
      <c r="H2819" s="5"/>
      <c r="I2819" s="5"/>
      <c r="J2819" s="5"/>
      <c r="K2819" s="5"/>
      <c r="L2819" s="5"/>
      <c r="M2819" s="5"/>
      <c r="N2819" s="5"/>
      <c r="O2819" s="5"/>
      <c r="P2819" s="5"/>
      <c r="Q2819" s="5"/>
      <c r="R2819" s="5"/>
      <c r="S2819" s="5"/>
      <c r="T2819" s="5"/>
      <c r="U2819" s="5"/>
      <c r="V2819" s="5"/>
      <c r="W2819" s="5"/>
      <c r="X2819" s="5"/>
      <c r="Y2819" s="5"/>
      <c r="Z2819" s="5"/>
    </row>
    <row r="2820" spans="1:26" ht="15.6" x14ac:dyDescent="0.3">
      <c r="A2820" s="19" t="s">
        <v>3</v>
      </c>
      <c r="B2820" s="26" t="s">
        <v>2812</v>
      </c>
      <c r="C2820" s="2" t="str">
        <f ca="1">IFERROR(__xludf.DUMMYFUNCTION("GOOGLETRANSLATE(B2820, ""bn"", ""en"")"),"In the first conference of the 'World Fellowship of Buddhists' held in Sri Lanka in 1950, it was decided to celebrate the birthday of Buddha on this full moon tithi of the month of Baisakh.")</f>
        <v>In the first conference of the 'World Fellowship of Buddhists' held in Sri Lanka in 1950, it was decided to celebrate the birthday of Buddha on this full moon tithi of the month of Baisakh.</v>
      </c>
      <c r="D2820" s="5"/>
      <c r="E2820" s="5"/>
      <c r="F2820" s="5"/>
      <c r="G2820" s="5"/>
      <c r="H2820" s="5"/>
      <c r="I2820" s="5"/>
      <c r="J2820" s="5"/>
      <c r="K2820" s="5"/>
      <c r="L2820" s="5"/>
      <c r="M2820" s="5"/>
      <c r="N2820" s="5"/>
      <c r="O2820" s="5"/>
      <c r="P2820" s="5"/>
      <c r="Q2820" s="5"/>
      <c r="R2820" s="5"/>
      <c r="S2820" s="5"/>
      <c r="T2820" s="5"/>
      <c r="U2820" s="5"/>
      <c r="V2820" s="5"/>
      <c r="W2820" s="5"/>
      <c r="X2820" s="5"/>
      <c r="Y2820" s="5"/>
      <c r="Z2820" s="5"/>
    </row>
    <row r="2821" spans="1:26" ht="15.6" x14ac:dyDescent="0.3">
      <c r="A2821" s="19" t="s">
        <v>5</v>
      </c>
      <c r="B2821" s="26" t="s">
        <v>2813</v>
      </c>
      <c r="C2821" s="2" t="str">
        <f ca="1">IFERROR(__xludf.DUMMYFUNCTION("GOOGLETRANSLATE(B2821, ""bn"", ""en"")"),"Death is a devastating time, which gives people a sense of inner peace. Religious beliefs can help you in times of crisis.")</f>
        <v>Death is a devastating time, which gives people a sense of inner peace. Religious beliefs can help you in times of crisis.</v>
      </c>
      <c r="D2821" s="5"/>
      <c r="E2821" s="5"/>
      <c r="F2821" s="5"/>
      <c r="G2821" s="5"/>
      <c r="H2821" s="5"/>
      <c r="I2821" s="5"/>
      <c r="J2821" s="5"/>
      <c r="K2821" s="5"/>
      <c r="L2821" s="5"/>
      <c r="M2821" s="5"/>
      <c r="N2821" s="5"/>
      <c r="O2821" s="5"/>
      <c r="P2821" s="5"/>
      <c r="Q2821" s="5"/>
      <c r="R2821" s="5"/>
      <c r="S2821" s="5"/>
      <c r="T2821" s="5"/>
      <c r="U2821" s="5"/>
      <c r="V2821" s="5"/>
      <c r="W2821" s="5"/>
      <c r="X2821" s="5"/>
      <c r="Y2821" s="5"/>
      <c r="Z2821" s="5"/>
    </row>
    <row r="2822" spans="1:26" ht="15.6" x14ac:dyDescent="0.3">
      <c r="A2822" s="19" t="s">
        <v>3</v>
      </c>
      <c r="B2822" s="26" t="s">
        <v>2814</v>
      </c>
      <c r="C2822" s="2" t="str">
        <f ca="1">IFERROR(__xludf.DUMMYFUNCTION("GOOGLETRANSLATE(B2822, ""bn"", ""en"")"),"The Prime Minister of Bangladesh is our confidant as a symbol of humanity. As a Buddhist community we are hopeful that the recent incident will be resolved through justice.")</f>
        <v>The Prime Minister of Bangladesh is our confidant as a symbol of humanity. As a Buddhist community we are hopeful that the recent incident will be resolved through justice.</v>
      </c>
      <c r="D2822" s="7"/>
      <c r="E2822" s="7"/>
      <c r="F2822" s="7"/>
      <c r="G2822" s="7"/>
      <c r="H2822" s="7"/>
      <c r="I2822" s="7"/>
      <c r="J2822" s="7"/>
      <c r="K2822" s="7"/>
      <c r="L2822" s="7"/>
      <c r="M2822" s="5"/>
      <c r="N2822" s="5"/>
      <c r="O2822" s="5"/>
      <c r="P2822" s="5"/>
      <c r="Q2822" s="5"/>
      <c r="R2822" s="5"/>
      <c r="S2822" s="5"/>
      <c r="T2822" s="5"/>
      <c r="U2822" s="5"/>
      <c r="V2822" s="5"/>
      <c r="W2822" s="5"/>
      <c r="X2822" s="5"/>
      <c r="Y2822" s="5"/>
      <c r="Z2822" s="5"/>
    </row>
    <row r="2823" spans="1:26" ht="15.6" x14ac:dyDescent="0.3">
      <c r="A2823" s="19" t="s">
        <v>8</v>
      </c>
      <c r="B2823" s="26" t="s">
        <v>2815</v>
      </c>
      <c r="C2823" s="2" t="str">
        <f ca="1">IFERROR(__xludf.DUMMYFUNCTION("GOOGLETRANSLATE(B2823, ""bn"", ""en"")"),"When the enemy's brutality subsided in September, a group of Lakhai men from Krishnapur were captured by boat on 16 September. Religious communities pray for peace.")</f>
        <v>When the enemy's brutality subsided in September, a group of Lakhai men from Krishnapur were captured by boat on 16 September. Religious communities pray for peace.</v>
      </c>
      <c r="D2823" s="7"/>
      <c r="E2823" s="7"/>
      <c r="F2823" s="7"/>
      <c r="G2823" s="7"/>
      <c r="H2823" s="7"/>
      <c r="I2823" s="7"/>
      <c r="J2823" s="7"/>
      <c r="K2823" s="7"/>
      <c r="L2823" s="5"/>
      <c r="M2823" s="5"/>
      <c r="N2823" s="5"/>
      <c r="O2823" s="5"/>
      <c r="P2823" s="5"/>
      <c r="Q2823" s="5"/>
      <c r="R2823" s="5"/>
      <c r="S2823" s="5"/>
      <c r="T2823" s="5"/>
      <c r="U2823" s="5"/>
      <c r="V2823" s="5"/>
      <c r="W2823" s="5"/>
      <c r="X2823" s="5"/>
      <c r="Y2823" s="5"/>
      <c r="Z2823" s="5"/>
    </row>
    <row r="2824" spans="1:26" ht="15.6" x14ac:dyDescent="0.3">
      <c r="A2824" s="18" t="s">
        <v>8</v>
      </c>
      <c r="B2824" s="25" t="s">
        <v>2816</v>
      </c>
      <c r="C2824" s="2" t="str">
        <f ca="1">IFERROR(__xludf.DUMMYFUNCTION("GOOGLETRANSLATE(B2824, ""bn"", ""en"")"),"The enemies of Islam are the Muslims these days. Muslims are killing Muslims in the name of religion. Anti-Islamic attitudes are now more common among Muslims.")</f>
        <v>The enemies of Islam are the Muslims these days. Muslims are killing Muslims in the name of religion. Anti-Islamic attitudes are now more common among Muslims.</v>
      </c>
      <c r="D2824" s="5"/>
      <c r="E2824" s="5"/>
      <c r="F2824" s="5"/>
      <c r="G2824" s="5"/>
      <c r="H2824" s="5"/>
      <c r="I2824" s="5"/>
      <c r="J2824" s="5"/>
      <c r="K2824" s="5"/>
      <c r="L2824" s="5"/>
      <c r="M2824" s="5"/>
      <c r="N2824" s="5"/>
      <c r="O2824" s="5"/>
      <c r="P2824" s="5"/>
      <c r="Q2824" s="5"/>
      <c r="R2824" s="5"/>
      <c r="S2824" s="5"/>
      <c r="T2824" s="5"/>
      <c r="U2824" s="5"/>
      <c r="V2824" s="5"/>
      <c r="W2824" s="5"/>
      <c r="X2824" s="5"/>
      <c r="Y2824" s="5"/>
      <c r="Z2824" s="5"/>
    </row>
    <row r="2825" spans="1:26" ht="15.6" x14ac:dyDescent="0.3">
      <c r="A2825" s="18" t="s">
        <v>8</v>
      </c>
      <c r="B2825" s="25" t="s">
        <v>2817</v>
      </c>
      <c r="C2825" s="2" t="str">
        <f ca="1">IFERROR(__xludf.DUMMYFUNCTION("GOOGLETRANSLATE(B2825, ""bn"", ""en"")"),"Idols vandalized in five temples in Tangail")</f>
        <v>Idols vandalized in five temples in Tangail</v>
      </c>
      <c r="D2825" s="2"/>
      <c r="E2825" s="2"/>
      <c r="F2825" s="2"/>
      <c r="G2825" s="2"/>
      <c r="H2825" s="3"/>
      <c r="I2825" s="3"/>
      <c r="J2825" s="3"/>
      <c r="K2825" s="3"/>
      <c r="L2825" s="3"/>
      <c r="M2825" s="3"/>
      <c r="N2825" s="3"/>
      <c r="O2825" s="3"/>
      <c r="P2825" s="3"/>
      <c r="Q2825" s="3"/>
      <c r="R2825" s="3"/>
      <c r="S2825" s="3"/>
      <c r="T2825" s="3"/>
      <c r="U2825" s="3"/>
      <c r="V2825" s="3"/>
      <c r="W2825" s="3"/>
      <c r="X2825" s="3"/>
      <c r="Y2825" s="3"/>
      <c r="Z2825" s="3"/>
    </row>
    <row r="2826" spans="1:26" ht="15.6" x14ac:dyDescent="0.3">
      <c r="A2826" s="19" t="s">
        <v>23</v>
      </c>
      <c r="B2826" s="26" t="s">
        <v>2818</v>
      </c>
      <c r="C2826" s="2" t="str">
        <f ca="1">IFERROR(__xludf.DUMMYFUNCTION("GOOGLETRANSLATE(B2826, ""bn"", ""en"")"),"After the Hazratbal incident on January 2, 1964, Muslims banned Hindus from wearing shoes, using umbrellas on their heads and riding in rickshaws.")</f>
        <v>After the Hazratbal incident on January 2, 1964, Muslims banned Hindus from wearing shoes, using umbrellas on their heads and riding in rickshaws.</v>
      </c>
      <c r="D2826" s="7"/>
      <c r="E2826" s="7"/>
      <c r="F2826" s="7"/>
      <c r="G2826" s="7"/>
      <c r="H2826" s="7"/>
      <c r="I2826" s="7"/>
      <c r="J2826" s="5"/>
      <c r="K2826" s="5"/>
      <c r="L2826" s="5"/>
      <c r="M2826" s="5"/>
      <c r="N2826" s="5"/>
      <c r="O2826" s="5"/>
      <c r="P2826" s="5"/>
      <c r="Q2826" s="5"/>
      <c r="R2826" s="5"/>
      <c r="S2826" s="5"/>
      <c r="T2826" s="5"/>
      <c r="U2826" s="5"/>
      <c r="V2826" s="5"/>
      <c r="W2826" s="5"/>
      <c r="X2826" s="5"/>
      <c r="Y2826" s="5"/>
      <c r="Z2826" s="5"/>
    </row>
    <row r="2827" spans="1:26" ht="15.6" x14ac:dyDescent="0.3">
      <c r="A2827" s="18" t="s">
        <v>5</v>
      </c>
      <c r="B2827" s="24" t="s">
        <v>2819</v>
      </c>
      <c r="C2827" s="2" t="str">
        <f ca="1">IFERROR(__xludf.DUMMYFUNCTION("GOOGLETRANSLATE(B2827, ""bn"", ""en"")"),"In a village in Patuakhali district, the conflict between the Hindu and Muslim communities turned into a firefight. 28 people were killed in the clash and many houses and religious places in the village were burnt. The affected families immediately approa"&amp;"ched the government for help in rehabilitation.")</f>
        <v>In a village in Patuakhali district, the conflict between the Hindu and Muslim communities turned into a firefight. 28 people were killed in the clash and many houses and religious places in the village were burnt. The affected families immediately approached the government for help in rehabilitation.</v>
      </c>
      <c r="D2827" s="5"/>
      <c r="E2827" s="5"/>
      <c r="F2827" s="5"/>
      <c r="G2827" s="5"/>
      <c r="H2827" s="5"/>
      <c r="I2827" s="5"/>
      <c r="J2827" s="5"/>
      <c r="K2827" s="5"/>
      <c r="L2827" s="5"/>
      <c r="M2827" s="5"/>
      <c r="N2827" s="5"/>
      <c r="O2827" s="5"/>
      <c r="P2827" s="5"/>
      <c r="Q2827" s="5"/>
      <c r="R2827" s="5"/>
      <c r="S2827" s="5"/>
      <c r="T2827" s="5"/>
      <c r="U2827" s="5"/>
      <c r="V2827" s="5"/>
      <c r="W2827" s="5"/>
      <c r="X2827" s="5"/>
      <c r="Y2827" s="5"/>
      <c r="Z2827" s="5"/>
    </row>
    <row r="2828" spans="1:26" ht="15.6" x14ac:dyDescent="0.3">
      <c r="A2828" s="19" t="s">
        <v>5</v>
      </c>
      <c r="B2828" s="26" t="s">
        <v>2820</v>
      </c>
      <c r="C2828" s="2" t="str">
        <f ca="1">IFERROR(__xludf.DUMMYFUNCTION("GOOGLETRANSLATE(B2828, ""bn"", ""en"")"),"A Hindu youth named Prithvish Das was stabbed to death in Zindabazar. On February 14, rumors spread that Muslims were being killed in Assam's Karimganj. In his address to a gathering of lawyers, the Deputy Commissioner of Sylhet pointed out that 5,000 Mus"&amp;"lims had been killed in Karimganj and that a large Muslim population had come to Sylhet for refuge. That same evening a Hindu named Moti Das was killed near Jalalpur. Three Manipuris were beaten, two of whom fell to their deaths.")</f>
        <v>A Hindu youth named Prithvish Das was stabbed to death in Zindabazar. On February 14, rumors spread that Muslims were being killed in Assam's Karimganj. In his address to a gathering of lawyers, the Deputy Commissioner of Sylhet pointed out that 5,000 Muslims had been killed in Karimganj and that a large Muslim population had come to Sylhet for refuge. That same evening a Hindu named Moti Das was killed near Jalalpur. Three Manipuris were beaten, two of whom fell to their deaths.</v>
      </c>
      <c r="D2828" s="7"/>
      <c r="E2828" s="7"/>
      <c r="F2828" s="7"/>
      <c r="G2828" s="7"/>
      <c r="H2828" s="7"/>
      <c r="I2828" s="7"/>
      <c r="J2828" s="7"/>
      <c r="K2828" s="7"/>
      <c r="L2828" s="7"/>
      <c r="M2828" s="7"/>
      <c r="N2828" s="7"/>
      <c r="O2828" s="7"/>
      <c r="P2828" s="7"/>
      <c r="Q2828" s="7"/>
      <c r="R2828" s="7"/>
      <c r="S2828" s="7"/>
      <c r="T2828" s="7"/>
      <c r="U2828" s="7"/>
      <c r="V2828" s="7"/>
      <c r="W2828" s="7"/>
      <c r="X2828" s="7"/>
      <c r="Y2828" s="7"/>
      <c r="Z2828" s="7"/>
    </row>
    <row r="2829" spans="1:26" ht="15.6" x14ac:dyDescent="0.3">
      <c r="A2829" s="19" t="s">
        <v>5</v>
      </c>
      <c r="B2829" s="26" t="s">
        <v>2821</v>
      </c>
      <c r="C2829" s="2" t="str">
        <f ca="1">IFERROR(__xludf.DUMMYFUNCTION("GOOGLETRANSLATE(B2829, ""bn"", ""en"")"),"In Madhavpasha Hindu teachers were burnt alive, and about 200 Hindus were hacked to death and wounded.")</f>
        <v>In Madhavpasha Hindu teachers were burnt alive, and about 200 Hindus were hacked to death and wounded.</v>
      </c>
      <c r="D2829" s="7"/>
      <c r="E2829" s="7"/>
      <c r="F2829" s="7"/>
      <c r="G2829" s="7"/>
      <c r="H2829" s="5"/>
      <c r="I2829" s="5"/>
      <c r="J2829" s="5"/>
      <c r="K2829" s="5"/>
      <c r="L2829" s="5"/>
      <c r="M2829" s="5"/>
      <c r="N2829" s="5"/>
      <c r="O2829" s="5"/>
      <c r="P2829" s="5"/>
      <c r="Q2829" s="5"/>
      <c r="R2829" s="5"/>
      <c r="S2829" s="5"/>
      <c r="T2829" s="5"/>
      <c r="U2829" s="5"/>
      <c r="V2829" s="5"/>
      <c r="W2829" s="5"/>
      <c r="X2829" s="5"/>
      <c r="Y2829" s="5"/>
      <c r="Z2829" s="5"/>
    </row>
    <row r="2830" spans="1:26" ht="15.6" x14ac:dyDescent="0.3">
      <c r="A2830" s="18" t="s">
        <v>5</v>
      </c>
      <c r="B2830" s="25" t="s">
        <v>2822</v>
      </c>
      <c r="C2830" s="2" t="str">
        <f ca="1">IFERROR(__xludf.DUMMYFUNCTION("GOOGLETRANSLATE(B2830, ""bn"", ""en"")"),"In 2015, the year we have just passed, militants killed four talented young writers-blogger-publishers, attacked various religious places of worship and killed innocent people. These militants have taken the lives of two foreign nationals who came to this"&amp;" country with a vow of humanitarian service.")</f>
        <v>In 2015, the year we have just passed, militants killed four talented young writers-blogger-publishers, attacked various religious places of worship and killed innocent people. These militants have taken the lives of two foreign nationals who came to this country with a vow of humanitarian service.</v>
      </c>
      <c r="D2830" s="5"/>
      <c r="E2830" s="5"/>
      <c r="F2830" s="5"/>
      <c r="G2830" s="5"/>
      <c r="H2830" s="5"/>
      <c r="I2830" s="5"/>
      <c r="J2830" s="5"/>
      <c r="K2830" s="5"/>
      <c r="L2830" s="5"/>
      <c r="M2830" s="5"/>
      <c r="N2830" s="5"/>
      <c r="O2830" s="5"/>
      <c r="P2830" s="5"/>
      <c r="Q2830" s="5"/>
      <c r="R2830" s="5"/>
      <c r="S2830" s="5"/>
      <c r="T2830" s="5"/>
      <c r="U2830" s="5"/>
      <c r="V2830" s="5"/>
      <c r="W2830" s="5"/>
      <c r="X2830" s="5"/>
      <c r="Y2830" s="5"/>
      <c r="Z2830" s="5"/>
    </row>
    <row r="2831" spans="1:26" ht="15.6" x14ac:dyDescent="0.3">
      <c r="A2831" s="19" t="s">
        <v>8</v>
      </c>
      <c r="B2831" s="26" t="s">
        <v>2823</v>
      </c>
      <c r="C2831" s="2" t="str">
        <f ca="1">IFERROR(__xludf.DUMMYFUNCTION("GOOGLETRANSLATE(B2831, ""bn"", ""en"")"),"In this Asia, especially in the Middle East, in South Asia, which has so many religious flags, but here theft, robbery, rape, rape of domestic workers, burning Hindus in the name of blasphemy, beating people for slaughtering cows, if these are not caught,"&amp;" then what can you say about corruption in each country? Everyone is so educated, they do not know about religion?")</f>
        <v>In this Asia, especially in the Middle East, in South Asia, which has so many religious flags, but here theft, robbery, rape, rape of domestic workers, burning Hindus in the name of blasphemy, beating people for slaughtering cows, if these are not caught, then what can you say about corruption in each country? Everyone is so educated, they do not know about religion?</v>
      </c>
      <c r="D2831" s="7"/>
      <c r="E2831" s="7"/>
      <c r="F2831" s="7"/>
      <c r="G2831" s="7"/>
      <c r="H2831" s="7"/>
      <c r="I2831" s="7"/>
      <c r="J2831" s="7"/>
      <c r="K2831" s="7"/>
      <c r="L2831" s="7"/>
      <c r="M2831" s="7"/>
      <c r="N2831" s="7"/>
      <c r="O2831" s="7"/>
      <c r="P2831" s="7"/>
      <c r="Q2831" s="5"/>
      <c r="R2831" s="5"/>
      <c r="S2831" s="5"/>
      <c r="T2831" s="5"/>
      <c r="U2831" s="5"/>
      <c r="V2831" s="5"/>
      <c r="W2831" s="5"/>
      <c r="X2831" s="5"/>
      <c r="Y2831" s="5"/>
      <c r="Z2831" s="5"/>
    </row>
    <row r="2832" spans="1:26" ht="15.6" x14ac:dyDescent="0.3">
      <c r="A2832" s="18" t="s">
        <v>5</v>
      </c>
      <c r="B2832" s="25" t="s">
        <v>2824</v>
      </c>
      <c r="C2832" s="2" t="str">
        <f ca="1">IFERROR(__xludf.DUMMYFUNCTION("GOOGLETRANSLATE(B2832, ""bn"", ""en"")"),"Hindus were brought out of their homes at gunpoint and assembled in front of the Adityapur Government School. Sixty-five people were intercepted and made to stand before the firing squad.")</f>
        <v>Hindus were brought out of their homes at gunpoint and assembled in front of the Adityapur Government School. Sixty-five people were intercepted and made to stand before the firing squad.</v>
      </c>
      <c r="D2832" s="5"/>
      <c r="E2832" s="5"/>
      <c r="F2832" s="5"/>
      <c r="G2832" s="5"/>
      <c r="H2832" s="5"/>
      <c r="I2832" s="5"/>
      <c r="J2832" s="5"/>
      <c r="K2832" s="5"/>
      <c r="L2832" s="5"/>
      <c r="M2832" s="5"/>
      <c r="N2832" s="5"/>
      <c r="O2832" s="5"/>
      <c r="P2832" s="5"/>
      <c r="Q2832" s="5"/>
      <c r="R2832" s="5"/>
      <c r="S2832" s="5"/>
      <c r="T2832" s="5"/>
      <c r="U2832" s="5"/>
      <c r="V2832" s="5"/>
      <c r="W2832" s="5"/>
      <c r="X2832" s="5"/>
      <c r="Y2832" s="5"/>
      <c r="Z2832" s="5"/>
    </row>
    <row r="2833" spans="1:26" ht="15.6" x14ac:dyDescent="0.3">
      <c r="A2833" s="18" t="s">
        <v>8</v>
      </c>
      <c r="B2833" s="25" t="s">
        <v>2825</v>
      </c>
      <c r="C2833" s="2" t="str">
        <f ca="1">IFERROR(__xludf.DUMMYFUNCTION("GOOGLETRANSLATE(B2833, ""bn"", ""en"")"),"Three-four temples were attacked and set on fire in Akhrabari area Seven-eight shops were attacked and looted in Dighlia market Journalist Sultan Hossain visited the spot and said that the house of Gobind Sahara was completely burnt down. Other houses wer"&amp;"e also attacked and ransacked The Hindus of that area locked their houses and moved away in fear")</f>
        <v>Three-four temples were attacked and set on fire in Akhrabari area Seven-eight shops were attacked and looted in Dighlia market Journalist Sultan Hossain visited the spot and said that the house of Gobind Sahara was completely burnt down. Other houses were also attacked and ransacked The Hindus of that area locked their houses and moved away in fear</v>
      </c>
      <c r="D2833" s="5"/>
      <c r="E2833" s="5"/>
      <c r="F2833" s="5"/>
      <c r="G2833" s="5"/>
      <c r="H2833" s="5"/>
      <c r="I2833" s="5"/>
      <c r="J2833" s="5"/>
      <c r="K2833" s="5"/>
      <c r="L2833" s="5"/>
      <c r="M2833" s="5"/>
      <c r="N2833" s="5"/>
      <c r="O2833" s="5"/>
      <c r="P2833" s="5"/>
      <c r="Q2833" s="5"/>
      <c r="R2833" s="5"/>
      <c r="S2833" s="5"/>
      <c r="T2833" s="5"/>
      <c r="U2833" s="5"/>
      <c r="V2833" s="5"/>
      <c r="W2833" s="5"/>
      <c r="X2833" s="5"/>
      <c r="Y2833" s="5"/>
      <c r="Z2833" s="5"/>
    </row>
    <row r="2834" spans="1:26" ht="15.6" x14ac:dyDescent="0.3">
      <c r="A2834" s="19" t="s">
        <v>3</v>
      </c>
      <c r="B2834" s="26" t="s">
        <v>2826</v>
      </c>
      <c r="C2834" s="2" t="str">
        <f ca="1">IFERROR(__xludf.DUMMYFUNCTION("GOOGLETRANSLATE(B2834, ""bn"", ""en"")"),"After reciting Surah Fatiha, I felt like I had returned home. I converted to Islam and kept faith in monotheism. Alhamdulillah!")</f>
        <v>After reciting Surah Fatiha, I felt like I had returned home. I converted to Islam and kept faith in monotheism. Alhamdulillah!</v>
      </c>
      <c r="D2834" s="7"/>
      <c r="E2834" s="7"/>
      <c r="F2834" s="7"/>
      <c r="G2834" s="7"/>
      <c r="H2834" s="7"/>
      <c r="I2834" s="7"/>
      <c r="J2834" s="5"/>
      <c r="K2834" s="5"/>
      <c r="L2834" s="5"/>
      <c r="M2834" s="5"/>
      <c r="N2834" s="5"/>
      <c r="O2834" s="5"/>
      <c r="P2834" s="5"/>
      <c r="Q2834" s="5"/>
      <c r="R2834" s="5"/>
      <c r="S2834" s="5"/>
      <c r="T2834" s="5"/>
      <c r="U2834" s="5"/>
      <c r="V2834" s="5"/>
      <c r="W2834" s="5"/>
      <c r="X2834" s="5"/>
      <c r="Y2834" s="5"/>
      <c r="Z2834" s="5"/>
    </row>
    <row r="2835" spans="1:26" ht="15.6" x14ac:dyDescent="0.3">
      <c r="A2835" s="18" t="s">
        <v>23</v>
      </c>
      <c r="B2835" s="25" t="s">
        <v>2827</v>
      </c>
      <c r="C2835" s="2" t="str">
        <f ca="1">IFERROR(__xludf.DUMMYFUNCTION("GOOGLETRANSLATE(B2835, ""bn"", ""en"")"),"In fact, whoever has done this may be a hypocrite with a Muslim name or an inhuman with a Hindu name, or of another religion! It may be from a neighboring country in exchange for money, a bezman! The real purpose of which was to prevent a peaceful Hindu-M"&amp;"uslim riot!")</f>
        <v>In fact, whoever has done this may be a hypocrite with a Muslim name or an inhuman with a Hindu name, or of another religion! It may be from a neighboring country in exchange for money, a bezman! The real purpose of which was to prevent a peaceful Hindu-Muslim riot!</v>
      </c>
      <c r="D2835" s="6"/>
      <c r="E2835" s="6"/>
      <c r="F2835" s="6"/>
      <c r="G2835" s="6"/>
      <c r="H2835" s="3"/>
      <c r="I2835" s="3"/>
      <c r="J2835" s="3"/>
      <c r="K2835" s="3"/>
      <c r="L2835" s="3"/>
      <c r="M2835" s="3"/>
      <c r="N2835" s="3"/>
      <c r="O2835" s="3"/>
      <c r="P2835" s="3"/>
      <c r="Q2835" s="3"/>
      <c r="R2835" s="3"/>
      <c r="S2835" s="3"/>
      <c r="T2835" s="3"/>
      <c r="U2835" s="3"/>
      <c r="V2835" s="3"/>
      <c r="W2835" s="3"/>
      <c r="X2835" s="3"/>
      <c r="Y2835" s="3"/>
      <c r="Z2835" s="3"/>
    </row>
    <row r="2836" spans="1:26" ht="15.6" x14ac:dyDescent="0.3">
      <c r="A2836" s="18" t="s">
        <v>23</v>
      </c>
      <c r="B2836" s="25" t="s">
        <v>2828</v>
      </c>
      <c r="C2836" s="2" t="str">
        <f ca="1">IFERROR(__xludf.DUMMYFUNCTION("GOOGLETRANSLATE(B2836, ""bn"", ""en"")"),"Brother journalist, the government of all countries may oppose, our Bangladesh government or people will not oppose because I think our Muslim faith has weakened.")</f>
        <v>Brother journalist, the government of all countries may oppose, our Bangladesh government or people will not oppose because I think our Muslim faith has weakened.</v>
      </c>
      <c r="D2836" s="5"/>
      <c r="E2836" s="5"/>
      <c r="F2836" s="5"/>
      <c r="G2836" s="5"/>
      <c r="H2836" s="5"/>
      <c r="I2836" s="5"/>
      <c r="J2836" s="5"/>
      <c r="K2836" s="5"/>
      <c r="L2836" s="5"/>
      <c r="M2836" s="5"/>
      <c r="N2836" s="5"/>
      <c r="O2836" s="5"/>
      <c r="P2836" s="5"/>
      <c r="Q2836" s="5"/>
      <c r="R2836" s="5"/>
      <c r="S2836" s="5"/>
      <c r="T2836" s="5"/>
      <c r="U2836" s="5"/>
      <c r="V2836" s="5"/>
      <c r="W2836" s="5"/>
      <c r="X2836" s="5"/>
      <c r="Y2836" s="5"/>
      <c r="Z2836" s="5"/>
    </row>
    <row r="2837" spans="1:26" ht="15.6" x14ac:dyDescent="0.3">
      <c r="A2837" s="18" t="s">
        <v>23</v>
      </c>
      <c r="B2837" s="25" t="s">
        <v>2829</v>
      </c>
      <c r="C2837" s="2" t="str">
        <f ca="1">IFERROR(__xludf.DUMMYFUNCTION("GOOGLETRANSLATE(B2837, ""bn"", ""en"")"),"The telecommunications regulator has blocked the website for allegedly failing to remove defamatory content from the online encyclopedia Wikipedia.")</f>
        <v>The telecommunications regulator has blocked the website for allegedly failing to remove defamatory content from the online encyclopedia Wikipedia.</v>
      </c>
      <c r="D2837" s="5"/>
      <c r="E2837" s="5"/>
      <c r="F2837" s="5"/>
      <c r="G2837" s="5"/>
      <c r="H2837" s="5"/>
      <c r="I2837" s="5"/>
      <c r="J2837" s="5"/>
      <c r="K2837" s="5"/>
      <c r="L2837" s="5"/>
      <c r="M2837" s="5"/>
      <c r="N2837" s="5"/>
      <c r="O2837" s="5"/>
      <c r="P2837" s="5"/>
      <c r="Q2837" s="5"/>
      <c r="R2837" s="5"/>
      <c r="S2837" s="5"/>
      <c r="T2837" s="5"/>
      <c r="U2837" s="5"/>
      <c r="V2837" s="5"/>
      <c r="W2837" s="5"/>
      <c r="X2837" s="5"/>
      <c r="Y2837" s="5"/>
      <c r="Z2837" s="5"/>
    </row>
    <row r="2838" spans="1:26" ht="15.6" x14ac:dyDescent="0.3">
      <c r="A2838" s="19" t="s">
        <v>8</v>
      </c>
      <c r="B2838" s="26" t="s">
        <v>2830</v>
      </c>
      <c r="C2838" s="2" t="str">
        <f ca="1">IFERROR(__xludf.DUMMYFUNCTION("GOOGLETRANSLATE(B2838, ""bn"", ""en"")"),"Most of the Hindu houses in Raja Dinendra Street were set on fire.")</f>
        <v>Most of the Hindu houses in Raja Dinendra Street were set on fire.</v>
      </c>
      <c r="D2838" s="5"/>
      <c r="E2838" s="5"/>
      <c r="F2838" s="5"/>
      <c r="G2838" s="5"/>
      <c r="H2838" s="5"/>
      <c r="I2838" s="5"/>
      <c r="J2838" s="5"/>
      <c r="K2838" s="5"/>
      <c r="L2838" s="5"/>
      <c r="M2838" s="5"/>
      <c r="N2838" s="5"/>
      <c r="O2838" s="5"/>
      <c r="P2838" s="5"/>
      <c r="Q2838" s="5"/>
      <c r="R2838" s="5"/>
      <c r="S2838" s="5"/>
      <c r="T2838" s="5"/>
      <c r="U2838" s="5"/>
      <c r="V2838" s="5"/>
      <c r="W2838" s="5"/>
      <c r="X2838" s="5"/>
      <c r="Y2838" s="5"/>
      <c r="Z2838" s="5"/>
    </row>
    <row r="2839" spans="1:26" ht="15.6" x14ac:dyDescent="0.3">
      <c r="A2839" s="18" t="s">
        <v>5</v>
      </c>
      <c r="B2839" s="24" t="s">
        <v>2831</v>
      </c>
      <c r="C2839" s="2" t="str">
        <f ca="1">IFERROR(__xludf.DUMMYFUNCTION("GOOGLETRANSLATE(B2839, ""bn"", ""en"")"),"In March 2021, an attack by a religious group killed 32 people and left many families homeless.")</f>
        <v>In March 2021, an attack by a religious group killed 32 people and left many families homeless.</v>
      </c>
      <c r="D2839" s="5"/>
      <c r="E2839" s="5"/>
      <c r="F2839" s="5"/>
      <c r="G2839" s="5"/>
      <c r="H2839" s="5"/>
      <c r="I2839" s="5"/>
      <c r="J2839" s="5"/>
      <c r="K2839" s="5"/>
      <c r="L2839" s="5"/>
      <c r="M2839" s="5"/>
      <c r="N2839" s="5"/>
      <c r="O2839" s="5"/>
      <c r="P2839" s="5"/>
      <c r="Q2839" s="5"/>
      <c r="R2839" s="5"/>
      <c r="S2839" s="5"/>
      <c r="T2839" s="5"/>
      <c r="U2839" s="5"/>
      <c r="V2839" s="5"/>
      <c r="W2839" s="5"/>
      <c r="X2839" s="5"/>
      <c r="Y2839" s="5"/>
      <c r="Z2839" s="5"/>
    </row>
    <row r="2840" spans="1:26" ht="15.6" x14ac:dyDescent="0.3">
      <c r="A2840" s="18" t="s">
        <v>8</v>
      </c>
      <c r="B2840" s="25" t="s">
        <v>2832</v>
      </c>
      <c r="C2840" s="2" t="str">
        <f ca="1">IFERROR(__xludf.DUMMYFUNCTION("GOOGLETRANSLATE(B2840, ""bn"", ""en"")"),"There have been killings in certain areas of Hindu society in Dhaka and East Bengal and attacks on Hindu-owned factories and businesses.")</f>
        <v>There have been killings in certain areas of Hindu society in Dhaka and East Bengal and attacks on Hindu-owned factories and businesses.</v>
      </c>
      <c r="D2840" s="2"/>
      <c r="E2840" s="2"/>
      <c r="F2840" s="2"/>
      <c r="G2840" s="2"/>
      <c r="H2840" s="3"/>
      <c r="I2840" s="3"/>
      <c r="J2840" s="3"/>
      <c r="K2840" s="3"/>
      <c r="L2840" s="3"/>
      <c r="M2840" s="3"/>
      <c r="N2840" s="3"/>
      <c r="O2840" s="3"/>
      <c r="P2840" s="3"/>
      <c r="Q2840" s="3"/>
      <c r="R2840" s="3"/>
      <c r="S2840" s="3"/>
      <c r="T2840" s="3"/>
      <c r="U2840" s="3"/>
      <c r="V2840" s="3"/>
      <c r="W2840" s="3"/>
      <c r="X2840" s="3"/>
      <c r="Y2840" s="3"/>
      <c r="Z2840" s="3"/>
    </row>
    <row r="2841" spans="1:26" ht="15.6" x14ac:dyDescent="0.3">
      <c r="A2841" s="19" t="s">
        <v>5</v>
      </c>
      <c r="B2841" s="26" t="s">
        <v>2833</v>
      </c>
      <c r="C2841" s="2" t="str">
        <f ca="1">IFERROR(__xludf.DUMMYFUNCTION("GOOGLETRANSLATE(B2841, ""bn"", ""en"")"),"He advocated using all means of destruction against heretics, but without shedding blood in the name of 'saving souls'. Heretics were drowned. Novgorod bishop Gennady Gonzov went back to Tsar Ivan III and requested the death of the heretics. Gennady admir"&amp;"ed Spanish explorers, especially his contemporary Torquemada, who had been exploring for 15 years.")</f>
        <v>He advocated using all means of destruction against heretics, but without shedding blood in the name of 'saving souls'. Heretics were drowned. Novgorod bishop Gennady Gonzov went back to Tsar Ivan III and requested the death of the heretics. Gennady admired Spanish explorers, especially his contemporary Torquemada, who had been exploring for 15 years.</v>
      </c>
      <c r="D2841" s="7"/>
      <c r="E2841" s="7"/>
      <c r="F2841" s="7"/>
      <c r="G2841" s="7"/>
      <c r="H2841" s="7"/>
      <c r="I2841" s="7"/>
      <c r="J2841" s="7"/>
      <c r="K2841" s="7"/>
      <c r="L2841" s="7"/>
      <c r="M2841" s="7"/>
      <c r="N2841" s="7"/>
      <c r="O2841" s="7"/>
      <c r="P2841" s="7"/>
      <c r="Q2841" s="7"/>
      <c r="R2841" s="7"/>
      <c r="S2841" s="7"/>
      <c r="T2841" s="7"/>
      <c r="U2841" s="7"/>
      <c r="V2841" s="5"/>
      <c r="W2841" s="5"/>
      <c r="X2841" s="5"/>
      <c r="Y2841" s="5"/>
      <c r="Z2841" s="5"/>
    </row>
    <row r="2842" spans="1:26" ht="15.6" x14ac:dyDescent="0.3">
      <c r="A2842" s="18" t="s">
        <v>8</v>
      </c>
      <c r="B2842" s="24" t="s">
        <v>2834</v>
      </c>
      <c r="C2842" s="2" t="str">
        <f ca="1">IFERROR(__xludf.DUMMYFUNCTION("GOOGLETRANSLATE(B2842, ""bn"", ""en"")"),"A Sheetala entered a temple in Thakurgaon, broke the arms of the metal idols and sprinkled red ink on the temple.")</f>
        <v>A Sheetala entered a temple in Thakurgaon, broke the arms of the metal idols and sprinkled red ink on the temple.</v>
      </c>
      <c r="D2842" s="5"/>
      <c r="E2842" s="5"/>
      <c r="F2842" s="5"/>
      <c r="G2842" s="5"/>
      <c r="H2842" s="5"/>
      <c r="I2842" s="5"/>
      <c r="J2842" s="5"/>
      <c r="K2842" s="5"/>
      <c r="L2842" s="5"/>
      <c r="M2842" s="5"/>
      <c r="N2842" s="5"/>
      <c r="O2842" s="5"/>
      <c r="P2842" s="5"/>
      <c r="Q2842" s="5"/>
      <c r="R2842" s="5"/>
      <c r="S2842" s="5"/>
      <c r="T2842" s="5"/>
      <c r="U2842" s="5"/>
      <c r="V2842" s="5"/>
      <c r="W2842" s="5"/>
      <c r="X2842" s="5"/>
      <c r="Y2842" s="5"/>
      <c r="Z2842" s="5"/>
    </row>
    <row r="2843" spans="1:26" ht="15.6" x14ac:dyDescent="0.3">
      <c r="A2843" s="19" t="s">
        <v>8</v>
      </c>
      <c r="B2843" s="26" t="s">
        <v>2835</v>
      </c>
      <c r="C2843" s="2" t="str">
        <f ca="1">IFERROR(__xludf.DUMMYFUNCTION("GOOGLETRANSLATE(B2843, ""bn"", ""en"")"),"The Bengali periodical 'Desh Bani' quoted a rescue worker in Noakhali in one of their news reports that Hindus could not return to their homes even after four months of the riots.")</f>
        <v>The Bengali periodical 'Desh Bani' quoted a rescue worker in Noakhali in one of their news reports that Hindus could not return to their homes even after four months of the riots.</v>
      </c>
      <c r="D2843" s="5"/>
      <c r="E2843" s="5"/>
      <c r="F2843" s="5"/>
      <c r="G2843" s="5"/>
      <c r="H2843" s="5"/>
      <c r="I2843" s="5"/>
      <c r="J2843" s="5"/>
      <c r="K2843" s="5"/>
      <c r="L2843" s="5"/>
      <c r="M2843" s="5"/>
      <c r="N2843" s="5"/>
      <c r="O2843" s="5"/>
      <c r="P2843" s="5"/>
      <c r="Q2843" s="5"/>
      <c r="R2843" s="5"/>
      <c r="S2843" s="5"/>
      <c r="T2843" s="5"/>
      <c r="U2843" s="5"/>
      <c r="V2843" s="5"/>
      <c r="W2843" s="5"/>
      <c r="X2843" s="5"/>
      <c r="Y2843" s="5"/>
      <c r="Z2843" s="5"/>
    </row>
    <row r="2844" spans="1:26" ht="15.6" x14ac:dyDescent="0.3">
      <c r="A2844" s="18" t="s">
        <v>3</v>
      </c>
      <c r="B2844" s="25" t="s">
        <v>2836</v>
      </c>
      <c r="C2844" s="2" t="str">
        <f ca="1">IFERROR(__xludf.DUMMYFUNCTION("GOOGLETRANSLATE(B2844, ""bn"", ""en"")"),"To escape the wrath of Allah one should follow the right path. If one goes astray, there is a chance for them to turn back, for Allah is Most Merciful and Forgiving.")</f>
        <v>To escape the wrath of Allah one should follow the right path. If one goes astray, there is a chance for them to turn back, for Allah is Most Merciful and Forgiving.</v>
      </c>
      <c r="D2844" s="7"/>
      <c r="E2844" s="7"/>
      <c r="F2844" s="7"/>
      <c r="G2844" s="7"/>
      <c r="H2844" s="7"/>
      <c r="I2844" s="7"/>
      <c r="J2844" s="7"/>
      <c r="K2844" s="7"/>
      <c r="L2844" s="7"/>
      <c r="M2844" s="7"/>
      <c r="N2844" s="7"/>
      <c r="O2844" s="7"/>
      <c r="P2844" s="7"/>
      <c r="Q2844" s="5"/>
      <c r="R2844" s="5"/>
      <c r="S2844" s="5"/>
      <c r="T2844" s="5"/>
      <c r="U2844" s="5"/>
      <c r="V2844" s="5"/>
      <c r="W2844" s="5"/>
      <c r="X2844" s="5"/>
      <c r="Y2844" s="5"/>
      <c r="Z2844" s="5"/>
    </row>
    <row r="2845" spans="1:26" ht="15.6" x14ac:dyDescent="0.3">
      <c r="A2845" s="18" t="s">
        <v>5</v>
      </c>
      <c r="B2845" s="24" t="s">
        <v>2837</v>
      </c>
      <c r="C2845" s="2" t="str">
        <f ca="1">IFERROR(__xludf.DUMMYFUNCTION("GOOGLETRANSLATE(B2845, ""bn"", ""en"")"),"In Chittagong, because they could not impose taxes on the minorities, they destroyed their houses; 25 people were killed.")</f>
        <v>In Chittagong, because they could not impose taxes on the minorities, they destroyed their houses; 25 people were killed.</v>
      </c>
      <c r="D2845" s="5"/>
      <c r="E2845" s="5"/>
      <c r="F2845" s="5"/>
      <c r="G2845" s="5"/>
      <c r="H2845" s="5"/>
      <c r="I2845" s="5"/>
      <c r="J2845" s="5"/>
      <c r="K2845" s="5"/>
      <c r="L2845" s="5"/>
      <c r="M2845" s="5"/>
      <c r="N2845" s="5"/>
      <c r="O2845" s="5"/>
      <c r="P2845" s="5"/>
      <c r="Q2845" s="5"/>
      <c r="R2845" s="5"/>
      <c r="S2845" s="5"/>
      <c r="T2845" s="5"/>
      <c r="U2845" s="5"/>
      <c r="V2845" s="5"/>
      <c r="W2845" s="5"/>
      <c r="X2845" s="5"/>
      <c r="Y2845" s="5"/>
      <c r="Z2845" s="5"/>
    </row>
    <row r="2846" spans="1:26" ht="15.6" x14ac:dyDescent="0.3">
      <c r="A2846" s="19" t="s">
        <v>5</v>
      </c>
      <c r="B2846" s="26" t="s">
        <v>2838</v>
      </c>
      <c r="C2846" s="2" t="str">
        <f ca="1">IFERROR(__xludf.DUMMYFUNCTION("GOOGLETRANSLATE(B2846, ""bn"", ""en"")"),"Many things are heard after suicide, but does anyone ever think about how helpless a person can make a decision like suicide?")</f>
        <v>Many things are heard after suicide, but does anyone ever think about how helpless a person can make a decision like suicide?</v>
      </c>
      <c r="D2846" s="5"/>
      <c r="E2846" s="5"/>
      <c r="F2846" s="5"/>
      <c r="G2846" s="5"/>
      <c r="H2846" s="5"/>
      <c r="I2846" s="5"/>
      <c r="J2846" s="5"/>
      <c r="K2846" s="5"/>
      <c r="L2846" s="5"/>
      <c r="M2846" s="5"/>
      <c r="N2846" s="5"/>
      <c r="O2846" s="5"/>
      <c r="P2846" s="5"/>
      <c r="Q2846" s="5"/>
      <c r="R2846" s="5"/>
      <c r="S2846" s="5"/>
      <c r="T2846" s="5"/>
      <c r="U2846" s="5"/>
      <c r="V2846" s="5"/>
      <c r="W2846" s="5"/>
      <c r="X2846" s="5"/>
      <c r="Y2846" s="5"/>
      <c r="Z2846" s="5"/>
    </row>
    <row r="2847" spans="1:26" ht="15.6" x14ac:dyDescent="0.3">
      <c r="A2847" s="18" t="s">
        <v>8</v>
      </c>
      <c r="B2847" s="25" t="s">
        <v>2839</v>
      </c>
      <c r="C2847" s="2" t="str">
        <f ca="1">IFERROR(__xludf.DUMMYFUNCTION("GOOGLETRANSLATE(B2847, ""bn"", ""en"")"),"Alas, being a Muslim citizen of a Muslim-majority country, I have to be persecuted by the so-called Muslim for obeying the commandments of Islam.")</f>
        <v>Alas, being a Muslim citizen of a Muslim-majority country, I have to be persecuted by the so-called Muslim for obeying the commandments of Islam.</v>
      </c>
      <c r="D2847" s="6"/>
      <c r="E2847" s="6"/>
      <c r="F2847" s="6"/>
      <c r="G2847" s="6"/>
      <c r="H2847" s="3"/>
      <c r="I2847" s="3"/>
      <c r="J2847" s="3"/>
      <c r="K2847" s="3"/>
      <c r="L2847" s="3"/>
      <c r="M2847" s="3"/>
      <c r="N2847" s="3"/>
      <c r="O2847" s="3"/>
      <c r="P2847" s="3"/>
      <c r="Q2847" s="3"/>
      <c r="R2847" s="3"/>
      <c r="S2847" s="3"/>
      <c r="T2847" s="3"/>
      <c r="U2847" s="3"/>
      <c r="V2847" s="3"/>
      <c r="W2847" s="3"/>
      <c r="X2847" s="3"/>
      <c r="Y2847" s="3"/>
      <c r="Z2847" s="3"/>
    </row>
    <row r="2848" spans="1:26" ht="15.6" x14ac:dyDescent="0.3">
      <c r="A2848" s="18" t="s">
        <v>5</v>
      </c>
      <c r="B2848" s="24" t="s">
        <v>2840</v>
      </c>
      <c r="C2848" s="2" t="str">
        <f ca="1">IFERROR(__xludf.DUMMYFUNCTION("GOOGLETRANSLATE(B2848, ""bn"", ""en"")"),"At least 40 people were killed in the attack on the minority community in Brahmanbaria due to religious violence.")</f>
        <v>At least 40 people were killed in the attack on the minority community in Brahmanbaria due to religious violence.</v>
      </c>
      <c r="D2848" s="5"/>
      <c r="E2848" s="5"/>
      <c r="F2848" s="5"/>
      <c r="G2848" s="5"/>
      <c r="H2848" s="5"/>
      <c r="I2848" s="5"/>
      <c r="J2848" s="5"/>
      <c r="K2848" s="5"/>
      <c r="L2848" s="5"/>
      <c r="M2848" s="5"/>
      <c r="N2848" s="5"/>
      <c r="O2848" s="5"/>
      <c r="P2848" s="5"/>
      <c r="Q2848" s="5"/>
      <c r="R2848" s="5"/>
      <c r="S2848" s="5"/>
      <c r="T2848" s="5"/>
      <c r="U2848" s="5"/>
      <c r="V2848" s="5"/>
      <c r="W2848" s="5"/>
      <c r="X2848" s="5"/>
      <c r="Y2848" s="5"/>
      <c r="Z2848" s="5"/>
    </row>
    <row r="2849" spans="1:26" ht="15.6" x14ac:dyDescent="0.3">
      <c r="A2849" s="18" t="s">
        <v>3</v>
      </c>
      <c r="B2849" s="25" t="s">
        <v>2841</v>
      </c>
      <c r="C2849" s="2" t="str">
        <f ca="1">IFERROR(__xludf.DUMMYFUNCTION("GOOGLETRANSLATE(B2849, ""bn"", ""en"")"),"The festival is celebrated at North Mithachari Prajnamitra Ban Vihar and Vimukti Vidharshan Bhavna Kendra in Ramu, Cox's Bazar. Festivals are celebrated with Sanghadan, Ashtapariskara donation, Dharamsabha, Cheebar and Kalpataru processions, and skylighti"&amp;"ng of lanterns.")</f>
        <v>The festival is celebrated at North Mithachari Prajnamitra Ban Vihar and Vimukti Vidharshan Bhavna Kendra in Ramu, Cox's Bazar. Festivals are celebrated with Sanghadan, Ashtapariskara donation, Dharamsabha, Cheebar and Kalpataru processions, and skylighting of lanterns.</v>
      </c>
      <c r="D2849" s="2"/>
      <c r="E2849" s="2"/>
      <c r="F2849" s="2"/>
      <c r="G2849" s="2"/>
      <c r="H2849" s="3"/>
      <c r="I2849" s="3"/>
      <c r="J2849" s="3"/>
      <c r="K2849" s="3"/>
      <c r="L2849" s="3"/>
      <c r="M2849" s="3"/>
      <c r="N2849" s="3"/>
      <c r="O2849" s="3"/>
      <c r="P2849" s="3"/>
      <c r="Q2849" s="3"/>
      <c r="R2849" s="3"/>
      <c r="S2849" s="3"/>
      <c r="T2849" s="3"/>
      <c r="U2849" s="3"/>
      <c r="V2849" s="3"/>
      <c r="W2849" s="3"/>
      <c r="X2849" s="3"/>
      <c r="Y2849" s="3"/>
      <c r="Z2849" s="3"/>
    </row>
    <row r="2850" spans="1:26" ht="15.6" x14ac:dyDescent="0.3">
      <c r="A2850" s="19" t="s">
        <v>23</v>
      </c>
      <c r="B2850" s="26" t="s">
        <v>2842</v>
      </c>
      <c r="C2850" s="2" t="str">
        <f ca="1">IFERROR(__xludf.DUMMYFUNCTION("GOOGLETRANSLATE(B2850, ""bn"", ""en"")"),"Religion is being removed from the education system and material civilization is being included in the subject of success.")</f>
        <v>Religion is being removed from the education system and material civilization is being included in the subject of success.</v>
      </c>
      <c r="D2850" s="7"/>
      <c r="E2850" s="7"/>
      <c r="F2850" s="5"/>
      <c r="G2850" s="5"/>
      <c r="H2850" s="5"/>
      <c r="I2850" s="5"/>
      <c r="J2850" s="5"/>
      <c r="K2850" s="5"/>
      <c r="L2850" s="5"/>
      <c r="M2850" s="5"/>
      <c r="N2850" s="5"/>
      <c r="O2850" s="5"/>
      <c r="P2850" s="5"/>
      <c r="Q2850" s="5"/>
      <c r="R2850" s="5"/>
      <c r="S2850" s="5"/>
      <c r="T2850" s="5"/>
      <c r="U2850" s="5"/>
      <c r="V2850" s="5"/>
      <c r="W2850" s="5"/>
      <c r="X2850" s="5"/>
      <c r="Y2850" s="5"/>
      <c r="Z2850" s="5"/>
    </row>
    <row r="2851" spans="1:26" ht="15.6" x14ac:dyDescent="0.3">
      <c r="A2851" s="18" t="s">
        <v>8</v>
      </c>
      <c r="B2851" s="24" t="s">
        <v>2843</v>
      </c>
      <c r="C2851" s="2" t="str">
        <f ca="1">IFERROR(__xludf.DUMMYFUNCTION("GOOGLETRANSLATE(B2851, ""bn"", ""en"")"),"Cut trees were buried on the wall of a mosque in Cox's Bazar and hateful religious slogans were written, sparking outrage among worshippers.")</f>
        <v>Cut trees were buried on the wall of a mosque in Cox's Bazar and hateful religious slogans were written, sparking outrage among worshippers.</v>
      </c>
      <c r="D2851" s="5"/>
      <c r="E2851" s="5"/>
      <c r="F2851" s="5"/>
      <c r="G2851" s="5"/>
      <c r="H2851" s="5"/>
      <c r="I2851" s="5"/>
      <c r="J2851" s="5"/>
      <c r="K2851" s="5"/>
      <c r="L2851" s="5"/>
      <c r="M2851" s="5"/>
      <c r="N2851" s="5"/>
      <c r="O2851" s="5"/>
      <c r="P2851" s="5"/>
      <c r="Q2851" s="5"/>
      <c r="R2851" s="5"/>
      <c r="S2851" s="5"/>
      <c r="T2851" s="5"/>
      <c r="U2851" s="5"/>
      <c r="V2851" s="5"/>
      <c r="W2851" s="5"/>
      <c r="X2851" s="5"/>
      <c r="Y2851" s="5"/>
      <c r="Z2851" s="5"/>
    </row>
    <row r="2852" spans="1:26" ht="15.6" x14ac:dyDescent="0.3">
      <c r="A2852" s="18" t="s">
        <v>3</v>
      </c>
      <c r="B2852" s="25" t="s">
        <v>2844</v>
      </c>
      <c r="C2852" s="2" t="str">
        <f ca="1">IFERROR(__xludf.DUMMYFUNCTION("GOOGLETRANSLATE(B2852, ""bn"", ""en"")"),"Researchers have found that when a group of people's beliefs or values ​​are repeatedly attacked, the likelihood of religious violence increases. Even then, only twenty percent of those who are taken as models are involved in violence.")</f>
        <v>Researchers have found that when a group of people's beliefs or values ​​are repeatedly attacked, the likelihood of religious violence increases. Even then, only twenty percent of those who are taken as models are involved in violence.</v>
      </c>
      <c r="D2852" s="5"/>
      <c r="E2852" s="5"/>
      <c r="F2852" s="5"/>
      <c r="G2852" s="5"/>
      <c r="H2852" s="5"/>
      <c r="I2852" s="5"/>
      <c r="J2852" s="5"/>
      <c r="K2852" s="5"/>
      <c r="L2852" s="5"/>
      <c r="M2852" s="5"/>
      <c r="N2852" s="5"/>
      <c r="O2852" s="5"/>
      <c r="P2852" s="5"/>
      <c r="Q2852" s="5"/>
      <c r="R2852" s="5"/>
      <c r="S2852" s="5"/>
      <c r="T2852" s="5"/>
      <c r="U2852" s="5"/>
      <c r="V2852" s="5"/>
      <c r="W2852" s="5"/>
      <c r="X2852" s="5"/>
      <c r="Y2852" s="5"/>
      <c r="Z2852" s="5"/>
    </row>
    <row r="2853" spans="1:26" ht="15.6" x14ac:dyDescent="0.3">
      <c r="A2853" s="18" t="s">
        <v>8</v>
      </c>
      <c r="B2853" s="24" t="s">
        <v>2845</v>
      </c>
      <c r="C2853" s="2" t="str">
        <f ca="1">IFERROR(__xludf.DUMMYFUNCTION("GOOGLETRANSLATE(B2853, ""bn"", ""en"")"),"On April 9, 2023, an idol was poured oil and set on fire in a small Krishna temple at Chagalnaya in Feni.")</f>
        <v>On April 9, 2023, an idol was poured oil and set on fire in a small Krishna temple at Chagalnaya in Feni.</v>
      </c>
      <c r="D2853" s="5"/>
      <c r="E2853" s="5"/>
      <c r="F2853" s="5"/>
      <c r="G2853" s="5"/>
      <c r="H2853" s="5"/>
      <c r="I2853" s="5"/>
      <c r="J2853" s="5"/>
      <c r="K2853" s="5"/>
      <c r="L2853" s="5"/>
      <c r="M2853" s="5"/>
      <c r="N2853" s="5"/>
      <c r="O2853" s="5"/>
      <c r="P2853" s="5"/>
      <c r="Q2853" s="5"/>
      <c r="R2853" s="5"/>
      <c r="S2853" s="5"/>
      <c r="T2853" s="5"/>
      <c r="U2853" s="5"/>
      <c r="V2853" s="5"/>
      <c r="W2853" s="5"/>
      <c r="X2853" s="5"/>
      <c r="Y2853" s="5"/>
      <c r="Z2853" s="5"/>
    </row>
    <row r="2854" spans="1:26" ht="15.6" x14ac:dyDescent="0.3">
      <c r="A2854" s="19" t="s">
        <v>5</v>
      </c>
      <c r="B2854" s="26" t="s">
        <v>2846</v>
      </c>
      <c r="C2854" s="2" t="str">
        <f ca="1">IFERROR(__xludf.DUMMYFUNCTION("GOOGLETRANSLATE(B2854, ""bn"", ""en"")"),"The influence of Brahmanism was enhanced by claiming Gautama Buddha as an avatar of Hindu Vishnu as part of the destruction project of Buddhism, which led to the social neglect and extinction of Buddhists.")</f>
        <v>The influence of Brahmanism was enhanced by claiming Gautama Buddha as an avatar of Hindu Vishnu as part of the destruction project of Buddhism, which led to the social neglect and extinction of Buddhists.</v>
      </c>
      <c r="D2854" s="7"/>
      <c r="E2854" s="7"/>
      <c r="F2854" s="7"/>
      <c r="G2854" s="7"/>
      <c r="H2854" s="7"/>
      <c r="I2854" s="7"/>
      <c r="J2854" s="7"/>
      <c r="K2854" s="7"/>
      <c r="L2854" s="7"/>
      <c r="M2854" s="7"/>
      <c r="N2854" s="5"/>
      <c r="O2854" s="5"/>
      <c r="P2854" s="5"/>
      <c r="Q2854" s="5"/>
      <c r="R2854" s="5"/>
      <c r="S2854" s="5"/>
      <c r="T2854" s="5"/>
      <c r="U2854" s="5"/>
      <c r="V2854" s="5"/>
      <c r="W2854" s="5"/>
      <c r="X2854" s="5"/>
      <c r="Y2854" s="5"/>
      <c r="Z2854" s="5"/>
    </row>
    <row r="2855" spans="1:26" ht="15.6" x14ac:dyDescent="0.3">
      <c r="A2855" s="19" t="s">
        <v>3</v>
      </c>
      <c r="B2855" s="26" t="s">
        <v>2847</v>
      </c>
      <c r="C2855" s="2" t="str">
        <f ca="1">IFERROR(__xludf.DUMMYFUNCTION("GOOGLETRANSLATE(B2855, ""bn"", ""en"")"),"Brahmins imitated the Buddhists and became vegetarians and started Rama-Krishna Vandana. At the end of Buddhism the epics were written which were an attempt to bring Buddhists back as Shudras.")</f>
        <v>Brahmins imitated the Buddhists and became vegetarians and started Rama-Krishna Vandana. At the end of Buddhism the epics were written which were an attempt to bring Buddhists back as Shudras.</v>
      </c>
      <c r="D2855" s="7"/>
      <c r="E2855" s="7"/>
      <c r="F2855" s="7"/>
      <c r="G2855" s="7"/>
      <c r="H2855" s="7"/>
      <c r="I2855" s="7"/>
      <c r="J2855" s="7"/>
      <c r="K2855" s="7"/>
      <c r="L2855" s="7"/>
      <c r="M2855" s="7"/>
      <c r="N2855" s="5"/>
      <c r="O2855" s="5"/>
      <c r="P2855" s="5"/>
      <c r="Q2855" s="5"/>
      <c r="R2855" s="5"/>
      <c r="S2855" s="5"/>
      <c r="T2855" s="5"/>
      <c r="U2855" s="5"/>
      <c r="V2855" s="5"/>
      <c r="W2855" s="5"/>
      <c r="X2855" s="5"/>
      <c r="Y2855" s="5"/>
      <c r="Z2855" s="5"/>
    </row>
    <row r="2856" spans="1:26" ht="15.6" x14ac:dyDescent="0.3">
      <c r="A2856" s="18" t="s">
        <v>3</v>
      </c>
      <c r="B2856" s="25" t="s">
        <v>2848</v>
      </c>
      <c r="C2856" s="2" t="str">
        <f ca="1">IFERROR(__xludf.DUMMYFUNCTION("GOOGLETRANSLATE(B2856, ""bn"", ""en"")"),"It is said that in many places Dalits have peacefully abandoned Hinduism and embraced Buddhism because they believe in Buddhism's teachings of equality and non-violence.")</f>
        <v>It is said that in many places Dalits have peacefully abandoned Hinduism and embraced Buddhism because they believe in Buddhism's teachings of equality and non-violence.</v>
      </c>
      <c r="D2856" s="5"/>
      <c r="E2856" s="5"/>
      <c r="F2856" s="5"/>
      <c r="G2856" s="5"/>
      <c r="H2856" s="5"/>
      <c r="I2856" s="5"/>
      <c r="J2856" s="5"/>
      <c r="K2856" s="5"/>
      <c r="L2856" s="5"/>
      <c r="M2856" s="5"/>
      <c r="N2856" s="5"/>
      <c r="O2856" s="5"/>
      <c r="P2856" s="5"/>
      <c r="Q2856" s="5"/>
      <c r="R2856" s="5"/>
      <c r="S2856" s="5"/>
      <c r="T2856" s="5"/>
      <c r="U2856" s="5"/>
      <c r="V2856" s="5"/>
      <c r="W2856" s="5"/>
      <c r="X2856" s="5"/>
      <c r="Y2856" s="5"/>
      <c r="Z2856" s="5"/>
    </row>
    <row r="2857" spans="1:26" ht="15.6" x14ac:dyDescent="0.3">
      <c r="A2857" s="18" t="s">
        <v>5</v>
      </c>
      <c r="B2857" s="25" t="s">
        <v>2849</v>
      </c>
      <c r="C2857" s="2" t="str">
        <f ca="1">IFERROR(__xludf.DUMMYFUNCTION("GOOGLETRANSLATE(B2857, ""bn"", ""en"")"),"Two Bangladeshis, one the imam of a local mosque and the other his assistant, were killed by miscreants in Garudpur's Navinnagar area.")</f>
        <v>Two Bangladeshis, one the imam of a local mosque and the other his assistant, were killed by miscreants in Garudpur's Navinnagar area.</v>
      </c>
      <c r="D2857" s="2"/>
      <c r="E2857" s="2"/>
      <c r="F2857" s="2"/>
      <c r="G2857" s="2"/>
      <c r="H2857" s="3"/>
      <c r="I2857" s="3"/>
      <c r="J2857" s="3"/>
      <c r="K2857" s="3"/>
      <c r="L2857" s="3"/>
      <c r="M2857" s="3"/>
      <c r="N2857" s="3"/>
      <c r="O2857" s="3"/>
      <c r="P2857" s="3"/>
      <c r="Q2857" s="3"/>
      <c r="R2857" s="3"/>
      <c r="S2857" s="3"/>
      <c r="T2857" s="3"/>
      <c r="U2857" s="3"/>
      <c r="V2857" s="3"/>
      <c r="W2857" s="3"/>
      <c r="X2857" s="3"/>
      <c r="Y2857" s="3"/>
      <c r="Z2857" s="3"/>
    </row>
    <row r="2858" spans="1:26" ht="15.6" x14ac:dyDescent="0.3">
      <c r="A2858" s="18" t="s">
        <v>3</v>
      </c>
      <c r="B2858" s="25" t="s">
        <v>2850</v>
      </c>
      <c r="C2858" s="2" t="str">
        <f ca="1">IFERROR(__xludf.DUMMYFUNCTION("GOOGLETRANSLATE(B2858, ""bn"", ""en"")"),"Arabic-speaking Christians today also use the word 'Allah' for God, as it is most religiously appropriate and reverential.")</f>
        <v>Arabic-speaking Christians today also use the word 'Allah' for God, as it is most religiously appropriate and reverential.</v>
      </c>
      <c r="D2858" s="5"/>
      <c r="E2858" s="5"/>
      <c r="F2858" s="5"/>
      <c r="G2858" s="5"/>
      <c r="H2858" s="5"/>
      <c r="I2858" s="5"/>
      <c r="J2858" s="5"/>
      <c r="K2858" s="5"/>
      <c r="L2858" s="5"/>
      <c r="M2858" s="5"/>
      <c r="N2858" s="5"/>
      <c r="O2858" s="5"/>
      <c r="P2858" s="5"/>
      <c r="Q2858" s="5"/>
      <c r="R2858" s="5"/>
      <c r="S2858" s="5"/>
      <c r="T2858" s="5"/>
      <c r="U2858" s="5"/>
      <c r="V2858" s="5"/>
      <c r="W2858" s="5"/>
      <c r="X2858" s="5"/>
      <c r="Y2858" s="5"/>
      <c r="Z2858" s="5"/>
    </row>
    <row r="2859" spans="1:26" ht="15.6" x14ac:dyDescent="0.3">
      <c r="A2859" s="18" t="s">
        <v>5</v>
      </c>
      <c r="B2859" s="24" t="s">
        <v>2851</v>
      </c>
      <c r="C2859" s="2" t="str">
        <f ca="1">IFERROR(__xludf.DUMMYFUNCTION("GOOGLETRANSLATE(B2859, ""bn"", ""en"")"),"42 people were killed in a clash between religious groups in Narayanganj. As police failed to quell the violence, the government called for peace. Many minority families seek shelter for safety.")</f>
        <v>42 people were killed in a clash between religious groups in Narayanganj. As police failed to quell the violence, the government called for peace. Many minority families seek shelter for safety.</v>
      </c>
      <c r="D2859" s="5"/>
      <c r="E2859" s="5"/>
      <c r="F2859" s="5"/>
      <c r="G2859" s="5"/>
      <c r="H2859" s="5"/>
      <c r="I2859" s="5"/>
      <c r="J2859" s="5"/>
      <c r="K2859" s="5"/>
      <c r="L2859" s="5"/>
      <c r="M2859" s="5"/>
      <c r="N2859" s="5"/>
      <c r="O2859" s="5"/>
      <c r="P2859" s="5"/>
      <c r="Q2859" s="5"/>
      <c r="R2859" s="5"/>
      <c r="S2859" s="5"/>
      <c r="T2859" s="5"/>
      <c r="U2859" s="5"/>
      <c r="V2859" s="5"/>
      <c r="W2859" s="5"/>
      <c r="X2859" s="5"/>
      <c r="Y2859" s="5"/>
      <c r="Z2859" s="5"/>
    </row>
    <row r="2860" spans="1:26" ht="15.6" x14ac:dyDescent="0.3">
      <c r="A2860" s="19" t="s">
        <v>3</v>
      </c>
      <c r="B2860" s="26" t="s">
        <v>2852</v>
      </c>
      <c r="C2860" s="2" t="str">
        <f ca="1">IFERROR(__xludf.DUMMYFUNCTION("GOOGLETRANSLATE(B2860, ""bn"", ""en"")"),"Lord Buddha who is preaching Dharma. I bestow upon them the fruits of my birth.")</f>
        <v>Lord Buddha who is preaching Dharma. I bestow upon them the fruits of my birth.</v>
      </c>
      <c r="D2860" s="5"/>
      <c r="E2860" s="5"/>
      <c r="F2860" s="5"/>
      <c r="G2860" s="5"/>
      <c r="H2860" s="5"/>
      <c r="I2860" s="5"/>
      <c r="J2860" s="5"/>
      <c r="K2860" s="5"/>
      <c r="L2860" s="5"/>
      <c r="M2860" s="5"/>
      <c r="N2860" s="5"/>
      <c r="O2860" s="5"/>
      <c r="P2860" s="5"/>
      <c r="Q2860" s="5"/>
      <c r="R2860" s="5"/>
      <c r="S2860" s="5"/>
      <c r="T2860" s="5"/>
      <c r="U2860" s="5"/>
      <c r="V2860" s="5"/>
      <c r="W2860" s="5"/>
      <c r="X2860" s="5"/>
      <c r="Y2860" s="5"/>
      <c r="Z2860" s="5"/>
    </row>
    <row r="2861" spans="1:26" ht="15.6" x14ac:dyDescent="0.3">
      <c r="A2861" s="18" t="s">
        <v>5</v>
      </c>
      <c r="B2861" s="24" t="s">
        <v>2853</v>
      </c>
      <c r="C2861" s="2" t="str">
        <f ca="1">IFERROR(__xludf.DUMMYFUNCTION("GOOGLETRANSLATE(B2861, ""bn"", ""en"")"),"29 people were killed in Chapainawabganj clashes between religious groups; Many people were injured.")</f>
        <v>29 people were killed in Chapainawabganj clashes between religious groups; Many people were injured.</v>
      </c>
      <c r="D2861" s="5"/>
      <c r="E2861" s="5"/>
      <c r="F2861" s="5"/>
      <c r="G2861" s="5"/>
      <c r="H2861" s="5"/>
      <c r="I2861" s="5"/>
      <c r="J2861" s="5"/>
      <c r="K2861" s="5"/>
      <c r="L2861" s="5"/>
      <c r="M2861" s="5"/>
      <c r="N2861" s="5"/>
      <c r="O2861" s="5"/>
      <c r="P2861" s="5"/>
      <c r="Q2861" s="5"/>
      <c r="R2861" s="5"/>
      <c r="S2861" s="5"/>
      <c r="T2861" s="5"/>
      <c r="U2861" s="5"/>
      <c r="V2861" s="5"/>
      <c r="W2861" s="5"/>
      <c r="X2861" s="5"/>
      <c r="Y2861" s="5"/>
      <c r="Z2861" s="5"/>
    </row>
    <row r="2862" spans="1:26" ht="15.6" x14ac:dyDescent="0.3">
      <c r="A2862" s="18" t="s">
        <v>23</v>
      </c>
      <c r="B2862" s="25" t="s">
        <v>2854</v>
      </c>
      <c r="C2862" s="2" t="str">
        <f ca="1">IFERROR(__xludf.DUMMYFUNCTION("GOOGLETRANSLATE(B2862, ""bn"", ""en"")"),"Torture of religious minorities, tensions over the lifestyle of minorities, food habits. We also see anti-Hindu talk to gain cheap popularity. Actually we are now becoming communal rather than religious.")</f>
        <v>Torture of religious minorities, tensions over the lifestyle of minorities, food habits. We also see anti-Hindu talk to gain cheap popularity. Actually we are now becoming communal rather than religious.</v>
      </c>
      <c r="D2862" s="6"/>
      <c r="E2862" s="2"/>
      <c r="F2862" s="2"/>
      <c r="G2862" s="2"/>
      <c r="H2862" s="3"/>
      <c r="I2862" s="3"/>
      <c r="J2862" s="3"/>
      <c r="K2862" s="3"/>
      <c r="L2862" s="3"/>
      <c r="M2862" s="3"/>
      <c r="N2862" s="3"/>
      <c r="O2862" s="3"/>
      <c r="P2862" s="3"/>
      <c r="Q2862" s="3"/>
      <c r="R2862" s="3"/>
      <c r="S2862" s="3"/>
      <c r="T2862" s="3"/>
      <c r="U2862" s="3"/>
      <c r="V2862" s="3"/>
      <c r="W2862" s="3"/>
      <c r="X2862" s="3"/>
      <c r="Y2862" s="3"/>
      <c r="Z2862" s="3"/>
    </row>
    <row r="2863" spans="1:26" ht="15.6" x14ac:dyDescent="0.3">
      <c r="A2863" s="19" t="s">
        <v>3</v>
      </c>
      <c r="B2863" s="26" t="s">
        <v>2855</v>
      </c>
      <c r="C2863" s="2" t="str">
        <f ca="1">IFERROR(__xludf.DUMMYFUNCTION("GOOGLETRANSLATE(B2863, ""bn"", ""en"")"),"The interpreter's name is not religion, religion is to live life in full compliance.")</f>
        <v>The interpreter's name is not religion, religion is to live life in full compliance.</v>
      </c>
      <c r="D2863" s="5"/>
      <c r="E2863" s="5"/>
      <c r="F2863" s="5"/>
      <c r="G2863" s="5"/>
      <c r="H2863" s="5"/>
      <c r="I2863" s="5"/>
      <c r="J2863" s="5"/>
      <c r="K2863" s="5"/>
      <c r="L2863" s="5"/>
      <c r="M2863" s="5"/>
      <c r="N2863" s="5"/>
      <c r="O2863" s="5"/>
      <c r="P2863" s="5"/>
      <c r="Q2863" s="5"/>
      <c r="R2863" s="5"/>
      <c r="S2863" s="5"/>
      <c r="T2863" s="5"/>
      <c r="U2863" s="5"/>
      <c r="V2863" s="5"/>
      <c r="W2863" s="5"/>
      <c r="X2863" s="5"/>
      <c r="Y2863" s="5"/>
      <c r="Z2863" s="5"/>
    </row>
    <row r="2864" spans="1:26" ht="15.6" x14ac:dyDescent="0.3">
      <c r="A2864" s="18" t="s">
        <v>23</v>
      </c>
      <c r="B2864" s="25" t="s">
        <v>2856</v>
      </c>
      <c r="C2864" s="2" t="str">
        <f ca="1">IFERROR(__xludf.DUMMYFUNCTION("GOOGLETRANSLATE(B2864, ""bn"", ""en"")"),"The conspirators gave it, not the Quran. But the Quran was in plain sight. So why did not the people in charge of Pujamandap remove it? They should be brought to justice.")</f>
        <v>The conspirators gave it, not the Quran. But the Quran was in plain sight. So why did not the people in charge of Pujamandap remove it? They should be brought to justice.</v>
      </c>
      <c r="D2864" s="2"/>
      <c r="E2864" s="2"/>
      <c r="F2864" s="2"/>
      <c r="G2864" s="2"/>
      <c r="H2864" s="3"/>
      <c r="I2864" s="3"/>
      <c r="J2864" s="3"/>
      <c r="K2864" s="3"/>
      <c r="L2864" s="3"/>
      <c r="M2864" s="3"/>
      <c r="N2864" s="3"/>
      <c r="O2864" s="3"/>
      <c r="P2864" s="3"/>
      <c r="Q2864" s="3"/>
      <c r="R2864" s="3"/>
      <c r="S2864" s="3"/>
      <c r="T2864" s="3"/>
      <c r="U2864" s="3"/>
      <c r="V2864" s="3"/>
      <c r="W2864" s="3"/>
      <c r="X2864" s="3"/>
      <c r="Y2864" s="3"/>
      <c r="Z2864" s="3"/>
    </row>
    <row r="2865" spans="1:26" ht="15.6" x14ac:dyDescent="0.3">
      <c r="A2865" s="18" t="s">
        <v>3</v>
      </c>
      <c r="B2865" s="25" t="s">
        <v>2857</v>
      </c>
      <c r="C2865" s="2" t="str">
        <f ca="1">IFERROR(__xludf.DUMMYFUNCTION("GOOGLETRANSLATE(B2865, ""bn"", ""en"")"),"It is not right to misbehave with any holy book of any religion. The world's most sacred book is the Muslim religion Al-Qur'an. Alhamdulillah.")</f>
        <v>It is not right to misbehave with any holy book of any religion. The world's most sacred book is the Muslim religion Al-Qur'an. Alhamdulillah.</v>
      </c>
      <c r="D2865" s="2"/>
      <c r="E2865" s="2"/>
      <c r="F2865" s="2"/>
      <c r="G2865" s="2"/>
      <c r="H2865" s="3"/>
      <c r="I2865" s="3"/>
      <c r="J2865" s="3"/>
      <c r="K2865" s="3"/>
      <c r="L2865" s="3"/>
      <c r="M2865" s="3"/>
      <c r="N2865" s="3"/>
      <c r="O2865" s="3"/>
      <c r="P2865" s="3"/>
      <c r="Q2865" s="3"/>
      <c r="R2865" s="3"/>
      <c r="S2865" s="3"/>
      <c r="T2865" s="3"/>
      <c r="U2865" s="3"/>
      <c r="V2865" s="3"/>
      <c r="W2865" s="3"/>
      <c r="X2865" s="3"/>
      <c r="Y2865" s="3"/>
      <c r="Z2865" s="3"/>
    </row>
    <row r="2866" spans="1:26" ht="15.6" x14ac:dyDescent="0.3">
      <c r="A2866" s="18" t="s">
        <v>5</v>
      </c>
      <c r="B2866" s="25" t="s">
        <v>2858</v>
      </c>
      <c r="C2866" s="2" t="str">
        <f ca="1">IFERROR(__xludf.DUMMYFUNCTION("GOOGLETRANSLATE(B2866, ""bn"", ""en"")"),"Due to conflict of religious ideologies, many innocent people have lost their lives, which has caused great unrest and violence in the society.")</f>
        <v>Due to conflict of religious ideologies, many innocent people have lost their lives, which has caused great unrest and violence in the society.</v>
      </c>
      <c r="D2866" s="2"/>
      <c r="E2866" s="2"/>
      <c r="F2866" s="2"/>
      <c r="G2866" s="2"/>
      <c r="H2866" s="3"/>
      <c r="I2866" s="3"/>
      <c r="J2866" s="3"/>
      <c r="K2866" s="3"/>
      <c r="L2866" s="3"/>
      <c r="M2866" s="3"/>
      <c r="N2866" s="3"/>
      <c r="O2866" s="3"/>
      <c r="P2866" s="3"/>
      <c r="Q2866" s="3"/>
      <c r="R2866" s="3"/>
      <c r="S2866" s="3"/>
      <c r="T2866" s="3"/>
      <c r="U2866" s="3"/>
      <c r="V2866" s="3"/>
      <c r="W2866" s="3"/>
      <c r="X2866" s="3"/>
      <c r="Y2866" s="3"/>
      <c r="Z2866" s="3"/>
    </row>
    <row r="2867" spans="1:26" ht="15.6" x14ac:dyDescent="0.3">
      <c r="A2867" s="19" t="s">
        <v>5</v>
      </c>
      <c r="B2867" s="26" t="s">
        <v>2859</v>
      </c>
      <c r="C2867" s="2" t="str">
        <f ca="1">IFERROR(__xludf.DUMMYFUNCTION("GOOGLETRANSLATE(B2867, ""bn"", ""en"")"),"High bamboo lofts were built in front of the fire, from which the widow jumped into the fire.")</f>
        <v>High bamboo lofts were built in front of the fire, from which the widow jumped into the fire.</v>
      </c>
      <c r="D2867" s="7"/>
      <c r="E2867" s="7"/>
      <c r="F2867" s="5"/>
      <c r="G2867" s="5"/>
      <c r="H2867" s="5"/>
      <c r="I2867" s="5"/>
      <c r="J2867" s="5"/>
      <c r="K2867" s="5"/>
      <c r="L2867" s="5"/>
      <c r="M2867" s="5"/>
      <c r="N2867" s="5"/>
      <c r="O2867" s="5"/>
      <c r="P2867" s="5"/>
      <c r="Q2867" s="5"/>
      <c r="R2867" s="5"/>
      <c r="S2867" s="5"/>
      <c r="T2867" s="5"/>
      <c r="U2867" s="5"/>
      <c r="V2867" s="5"/>
      <c r="W2867" s="5"/>
      <c r="X2867" s="5"/>
      <c r="Y2867" s="5"/>
      <c r="Z2867" s="5"/>
    </row>
    <row r="2868" spans="1:26" ht="15.6" x14ac:dyDescent="0.3">
      <c r="A2868" s="18" t="s">
        <v>5</v>
      </c>
      <c r="B2868" s="24" t="s">
        <v>2860</v>
      </c>
      <c r="C2868" s="2" t="str">
        <f ca="1">IFERROR(__xludf.DUMMYFUNCTION("GOOGLETRANSLATE(B2868, ""bn"", ""en"")"),"In January 2017, a religious group attacked the artist's exhibition for allegedly hurting religious sentiments; 16 people were killed.")</f>
        <v>In January 2017, a religious group attacked the artist's exhibition for allegedly hurting religious sentiments; 16 people were killed.</v>
      </c>
      <c r="D2868" s="5"/>
      <c r="E2868" s="5"/>
      <c r="F2868" s="5"/>
      <c r="G2868" s="5"/>
      <c r="H2868" s="5"/>
      <c r="I2868" s="5"/>
      <c r="J2868" s="5"/>
      <c r="K2868" s="5"/>
      <c r="L2868" s="5"/>
      <c r="M2868" s="5"/>
      <c r="N2868" s="5"/>
      <c r="O2868" s="5"/>
      <c r="P2868" s="5"/>
      <c r="Q2868" s="5"/>
      <c r="R2868" s="5"/>
      <c r="S2868" s="5"/>
      <c r="T2868" s="5"/>
      <c r="U2868" s="5"/>
      <c r="V2868" s="5"/>
      <c r="W2868" s="5"/>
      <c r="X2868" s="5"/>
      <c r="Y2868" s="5"/>
      <c r="Z2868" s="5"/>
    </row>
    <row r="2869" spans="1:26" ht="15.6" x14ac:dyDescent="0.3">
      <c r="A2869" s="19" t="s">
        <v>3</v>
      </c>
      <c r="B2869" s="26" t="s">
        <v>2861</v>
      </c>
      <c r="C2869" s="2" t="str">
        <f ca="1">IFERROR(__xludf.DUMMYFUNCTION("GOOGLETRANSLATE(B2869, ""bn"", ""en"")"),"Religion is that which sustains creation in an orderly manner. Sanatan Dharma is not dependent on any specific scriptures.")</f>
        <v>Religion is that which sustains creation in an orderly manner. Sanatan Dharma is not dependent on any specific scriptures.</v>
      </c>
      <c r="D2869" s="5"/>
      <c r="E2869" s="5"/>
      <c r="F2869" s="5"/>
      <c r="G2869" s="5"/>
      <c r="H2869" s="5"/>
      <c r="I2869" s="5"/>
      <c r="J2869" s="5"/>
      <c r="K2869" s="5"/>
      <c r="L2869" s="5"/>
      <c r="M2869" s="5"/>
      <c r="N2869" s="5"/>
      <c r="O2869" s="5"/>
      <c r="P2869" s="5"/>
      <c r="Q2869" s="5"/>
      <c r="R2869" s="5"/>
      <c r="S2869" s="5"/>
      <c r="T2869" s="5"/>
      <c r="U2869" s="5"/>
      <c r="V2869" s="5"/>
      <c r="W2869" s="5"/>
      <c r="X2869" s="5"/>
      <c r="Y2869" s="5"/>
      <c r="Z2869" s="5"/>
    </row>
    <row r="2870" spans="1:26" ht="15.6" x14ac:dyDescent="0.3">
      <c r="A2870" s="18" t="s">
        <v>23</v>
      </c>
      <c r="B2870" s="24" t="s">
        <v>2862</v>
      </c>
      <c r="C2870" s="2" t="str">
        <f ca="1">IFERROR(__xludf.DUMMYFUNCTION("GOOGLETRANSLATE(B2870, ""bn"", ""en"")"),"Some extremist groups among Muslims want to establish their own religion over other religions and have a contemptuous attitude towards other religions.")</f>
        <v>Some extremist groups among Muslims want to establish their own religion over other religions and have a contemptuous attitude towards other religions.</v>
      </c>
      <c r="D2870" s="5"/>
      <c r="E2870" s="5"/>
      <c r="F2870" s="5"/>
      <c r="G2870" s="5"/>
      <c r="H2870" s="5"/>
      <c r="I2870" s="5"/>
      <c r="J2870" s="5"/>
      <c r="K2870" s="5"/>
      <c r="L2870" s="5"/>
      <c r="M2870" s="5"/>
      <c r="N2870" s="5"/>
      <c r="O2870" s="5"/>
      <c r="P2870" s="5"/>
      <c r="Q2870" s="5"/>
      <c r="R2870" s="5"/>
      <c r="S2870" s="5"/>
      <c r="T2870" s="5"/>
      <c r="U2870" s="5"/>
      <c r="V2870" s="5"/>
      <c r="W2870" s="5"/>
      <c r="X2870" s="5"/>
      <c r="Y2870" s="5"/>
      <c r="Z2870" s="5"/>
    </row>
    <row r="2871" spans="1:26" ht="15.6" x14ac:dyDescent="0.3">
      <c r="A2871" s="19" t="s">
        <v>8</v>
      </c>
      <c r="B2871" s="26" t="s">
        <v>2863</v>
      </c>
      <c r="C2871" s="2" t="str">
        <f ca="1">IFERROR(__xludf.DUMMYFUNCTION("GOOGLETRANSLATE(B2871, ""bn"", ""en"")"),"Eight years ago in 2012, in Ramu, Ukhia and Teknaf in Cox's Bazar, 13 Buddhist temples and their homesteads were set on fire following rumors on Facebook. None of the 19 cases in that incident have been tried yet.")</f>
        <v>Eight years ago in 2012, in Ramu, Ukhia and Teknaf in Cox's Bazar, 13 Buddhist temples and their homesteads were set on fire following rumors on Facebook. None of the 19 cases in that incident have been tried yet.</v>
      </c>
      <c r="D2871" s="5"/>
      <c r="E2871" s="5"/>
      <c r="F2871" s="5"/>
      <c r="G2871" s="5"/>
      <c r="H2871" s="5"/>
      <c r="I2871" s="5"/>
      <c r="J2871" s="5"/>
      <c r="K2871" s="5"/>
      <c r="L2871" s="5"/>
      <c r="M2871" s="5"/>
      <c r="N2871" s="5"/>
      <c r="O2871" s="5"/>
      <c r="P2871" s="5"/>
      <c r="Q2871" s="5"/>
      <c r="R2871" s="5"/>
      <c r="S2871" s="5"/>
      <c r="T2871" s="5"/>
      <c r="U2871" s="5"/>
      <c r="V2871" s="5"/>
      <c r="W2871" s="5"/>
      <c r="X2871" s="5"/>
      <c r="Y2871" s="5"/>
      <c r="Z2871" s="5"/>
    </row>
    <row r="2872" spans="1:26" ht="15.6" x14ac:dyDescent="0.3">
      <c r="A2872" s="18" t="s">
        <v>23</v>
      </c>
      <c r="B2872" s="25" t="s">
        <v>2864</v>
      </c>
      <c r="C2872" s="2" t="str">
        <f ca="1">IFERROR(__xludf.DUMMYFUNCTION("GOOGLETRANSLATE(B2872, ""bn"", ""en"")"),"Dinkrishna Tagore's comments on Sanatan Dharma,")</f>
        <v>Dinkrishna Tagore's comments on Sanatan Dharma,</v>
      </c>
      <c r="D2872" s="5"/>
      <c r="E2872" s="5"/>
      <c r="F2872" s="5"/>
      <c r="G2872" s="5"/>
      <c r="H2872" s="5"/>
      <c r="I2872" s="5"/>
      <c r="J2872" s="5"/>
      <c r="K2872" s="5"/>
      <c r="L2872" s="5"/>
      <c r="M2872" s="5"/>
      <c r="N2872" s="5"/>
      <c r="O2872" s="5"/>
      <c r="P2872" s="5"/>
      <c r="Q2872" s="5"/>
      <c r="R2872" s="5"/>
      <c r="S2872" s="5"/>
      <c r="T2872" s="5"/>
      <c r="U2872" s="5"/>
      <c r="V2872" s="5"/>
      <c r="W2872" s="5"/>
      <c r="X2872" s="5"/>
      <c r="Y2872" s="5"/>
      <c r="Z2872" s="5"/>
    </row>
    <row r="2873" spans="1:26" ht="15.6" x14ac:dyDescent="0.3">
      <c r="A2873" s="18" t="s">
        <v>23</v>
      </c>
      <c r="B2873" s="25" t="s">
        <v>2865</v>
      </c>
      <c r="C2873" s="2" t="str">
        <f ca="1">IFERROR(__xludf.DUMMYFUNCTION("GOOGLETRANSLATE(B2873, ""bn"", ""en"")"),"Lord, please send a short video message, so that no Muslim destroys the houses of the Hindus, destroys the pujamandap, if they want it, so that the international media can be told that they see the minority in Bangladesh. Every torture is done")</f>
        <v>Lord, please send a short video message, so that no Muslim destroys the houses of the Hindus, destroys the pujamandap, if they want it, so that the international media can be told that they see the minority in Bangladesh. Every torture is done</v>
      </c>
      <c r="D2873" s="6"/>
      <c r="E2873" s="6"/>
      <c r="F2873" s="6"/>
      <c r="G2873" s="6"/>
      <c r="H2873" s="3"/>
      <c r="I2873" s="3"/>
      <c r="J2873" s="3"/>
      <c r="K2873" s="3"/>
      <c r="L2873" s="3"/>
      <c r="M2873" s="3"/>
      <c r="N2873" s="3"/>
      <c r="O2873" s="3"/>
      <c r="P2873" s="3"/>
      <c r="Q2873" s="3"/>
      <c r="R2873" s="3"/>
      <c r="S2873" s="3"/>
      <c r="T2873" s="3"/>
      <c r="U2873" s="3"/>
      <c r="V2873" s="3"/>
      <c r="W2873" s="3"/>
      <c r="X2873" s="3"/>
      <c r="Y2873" s="3"/>
      <c r="Z2873" s="3"/>
    </row>
    <row r="2874" spans="1:26" ht="15.6" x14ac:dyDescent="0.3">
      <c r="A2874" s="18" t="s">
        <v>23</v>
      </c>
      <c r="B2874" s="25" t="s">
        <v>2866</v>
      </c>
      <c r="C2874" s="2" t="str">
        <f ca="1">IFERROR(__xludf.DUMMYFUNCTION("GOOGLETRANSLATE(B2874, ""bn"", ""en"")"),"A few days ago, an anti-Islamic organization was formed in Dhamrai, the activities of whose activists and supporters have scared the Muslims there.")</f>
        <v>A few days ago, an anti-Islamic organization was formed in Dhamrai, the activities of whose activists and supporters have scared the Muslims there.</v>
      </c>
      <c r="D2874" s="2"/>
      <c r="E2874" s="2"/>
      <c r="F2874" s="2"/>
      <c r="G2874" s="2"/>
      <c r="H2874" s="3"/>
      <c r="I2874" s="3"/>
      <c r="J2874" s="3"/>
      <c r="K2874" s="3"/>
      <c r="L2874" s="3"/>
      <c r="M2874" s="3"/>
      <c r="N2874" s="3"/>
      <c r="O2874" s="3"/>
      <c r="P2874" s="3"/>
      <c r="Q2874" s="3"/>
      <c r="R2874" s="3"/>
      <c r="S2874" s="3"/>
      <c r="T2874" s="3"/>
      <c r="U2874" s="3"/>
      <c r="V2874" s="3"/>
      <c r="W2874" s="3"/>
      <c r="X2874" s="3"/>
      <c r="Y2874" s="3"/>
      <c r="Z2874" s="3"/>
    </row>
    <row r="2875" spans="1:26" ht="15.6" x14ac:dyDescent="0.3">
      <c r="A2875" s="18" t="s">
        <v>8</v>
      </c>
      <c r="B2875" s="24" t="s">
        <v>2867</v>
      </c>
      <c r="C2875" s="2" t="str">
        <f ca="1">IFERROR(__xludf.DUMMYFUNCTION("GOOGLETRANSLATE(B2875, ""bn"", ""en"")"),"A Radha-Govinda temple in Sirajganj was set on fire and the mandapa including clay idols and curtains were reduced to ashes.")</f>
        <v>A Radha-Govinda temple in Sirajganj was set on fire and the mandapa including clay idols and curtains were reduced to ashes.</v>
      </c>
      <c r="D2875" s="5"/>
      <c r="E2875" s="5"/>
      <c r="F2875" s="5"/>
      <c r="G2875" s="5"/>
      <c r="H2875" s="5"/>
      <c r="I2875" s="5"/>
      <c r="J2875" s="5"/>
      <c r="K2875" s="5"/>
      <c r="L2875" s="5"/>
      <c r="M2875" s="5"/>
      <c r="N2875" s="5"/>
      <c r="O2875" s="5"/>
      <c r="P2875" s="5"/>
      <c r="Q2875" s="5"/>
      <c r="R2875" s="5"/>
      <c r="S2875" s="5"/>
      <c r="T2875" s="5"/>
      <c r="U2875" s="5"/>
      <c r="V2875" s="5"/>
      <c r="W2875" s="5"/>
      <c r="X2875" s="5"/>
      <c r="Y2875" s="5"/>
      <c r="Z2875" s="5"/>
    </row>
    <row r="2876" spans="1:26" ht="15.6" x14ac:dyDescent="0.3">
      <c r="A2876" s="18" t="s">
        <v>3</v>
      </c>
      <c r="B2876" s="25" t="s">
        <v>2868</v>
      </c>
      <c r="C2876" s="2" t="str">
        <f ca="1">IFERROR(__xludf.DUMMYFUNCTION("GOOGLETRANSLATE(B2876, ""bn"", ""en"")"),"Prabarana Purnima is one of the major religious festivals celebrated by Buddhists; Which is also known as Ashwini Purnima.")</f>
        <v>Prabarana Purnima is one of the major religious festivals celebrated by Buddhists; Which is also known as Ashwini Purnima.</v>
      </c>
      <c r="D2876" s="5"/>
      <c r="E2876" s="5"/>
      <c r="F2876" s="5"/>
      <c r="G2876" s="5"/>
      <c r="H2876" s="5"/>
      <c r="I2876" s="5"/>
      <c r="J2876" s="5"/>
      <c r="K2876" s="5"/>
      <c r="L2876" s="5"/>
      <c r="M2876" s="5"/>
      <c r="N2876" s="5"/>
      <c r="O2876" s="5"/>
      <c r="P2876" s="5"/>
      <c r="Q2876" s="5"/>
      <c r="R2876" s="5"/>
      <c r="S2876" s="5"/>
      <c r="T2876" s="5"/>
      <c r="U2876" s="5"/>
      <c r="V2876" s="5"/>
      <c r="W2876" s="5"/>
      <c r="X2876" s="5"/>
      <c r="Y2876" s="5"/>
      <c r="Z2876" s="5"/>
    </row>
    <row r="2877" spans="1:26" ht="15.6" x14ac:dyDescent="0.3">
      <c r="A2877" s="19" t="s">
        <v>23</v>
      </c>
      <c r="B2877" s="26" t="s">
        <v>2869</v>
      </c>
      <c r="C2877" s="2" t="str">
        <f ca="1">IFERROR(__xludf.DUMMYFUNCTION("GOOGLETRANSLATE(B2877, ""bn"", ""en"")"),"A country of 91% Muslims is opposed to Islam everywhere.")</f>
        <v>A country of 91% Muslims is opposed to Islam everywhere.</v>
      </c>
      <c r="D2877" s="5"/>
      <c r="E2877" s="5"/>
      <c r="F2877" s="5"/>
      <c r="G2877" s="5"/>
      <c r="H2877" s="5"/>
      <c r="I2877" s="5"/>
      <c r="J2877" s="5"/>
      <c r="K2877" s="5"/>
      <c r="L2877" s="5"/>
      <c r="M2877" s="5"/>
      <c r="N2877" s="5"/>
      <c r="O2877" s="5"/>
      <c r="P2877" s="5"/>
      <c r="Q2877" s="5"/>
      <c r="R2877" s="5"/>
      <c r="S2877" s="5"/>
      <c r="T2877" s="5"/>
      <c r="U2877" s="5"/>
      <c r="V2877" s="5"/>
      <c r="W2877" s="5"/>
      <c r="X2877" s="5"/>
      <c r="Y2877" s="5"/>
      <c r="Z2877" s="5"/>
    </row>
    <row r="2878" spans="1:26" ht="15.6" x14ac:dyDescent="0.3">
      <c r="A2878" s="19" t="s">
        <v>8</v>
      </c>
      <c r="B2878" s="26" t="s">
        <v>2870</v>
      </c>
      <c r="C2878" s="2" t="str">
        <f ca="1">IFERROR(__xludf.DUMMYFUNCTION("GOOGLETRANSLATE(B2878, ""bn"", ""en"")"),"In 2012, a Buddhist village in Ramu, Cox's Bazar was attacked and set on fire on the same charges. And last year in Nasirnagar of Brahmanbaria, a similar attack was carried out on a Hindu village on similar charges.")</f>
        <v>In 2012, a Buddhist village in Ramu, Cox's Bazar was attacked and set on fire on the same charges. And last year in Nasirnagar of Brahmanbaria, a similar attack was carried out on a Hindu village on similar charges.</v>
      </c>
      <c r="D2878" s="7"/>
      <c r="E2878" s="5"/>
      <c r="F2878" s="5"/>
      <c r="G2878" s="5"/>
      <c r="H2878" s="5"/>
      <c r="I2878" s="5"/>
      <c r="J2878" s="5"/>
      <c r="K2878" s="5"/>
      <c r="L2878" s="5"/>
      <c r="M2878" s="5"/>
      <c r="N2878" s="5"/>
      <c r="O2878" s="5"/>
      <c r="P2878" s="5"/>
      <c r="Q2878" s="5"/>
      <c r="R2878" s="5"/>
      <c r="S2878" s="5"/>
      <c r="T2878" s="5"/>
      <c r="U2878" s="5"/>
      <c r="V2878" s="5"/>
      <c r="W2878" s="5"/>
      <c r="X2878" s="5"/>
      <c r="Y2878" s="5"/>
      <c r="Z2878" s="5"/>
    </row>
    <row r="2879" spans="1:26" ht="15.6" x14ac:dyDescent="0.3">
      <c r="A2879" s="18" t="s">
        <v>8</v>
      </c>
      <c r="B2879" s="25" t="s">
        <v>2871</v>
      </c>
      <c r="C2879" s="2" t="str">
        <f ca="1">IFERROR(__xludf.DUMMYFUNCTION("GOOGLETRANSLATE(B2879, ""bn"", ""en"")"),"The harmony between the Buddhist and Muslim communities in Chittagong changed completely after the attack.")</f>
        <v>The harmony between the Buddhist and Muslim communities in Chittagong changed completely after the attack.</v>
      </c>
      <c r="D2879" s="2"/>
      <c r="E2879" s="2"/>
      <c r="F2879" s="2"/>
      <c r="G2879" s="2"/>
      <c r="H2879" s="3"/>
      <c r="I2879" s="3"/>
      <c r="J2879" s="3"/>
      <c r="K2879" s="3"/>
      <c r="L2879" s="3"/>
      <c r="M2879" s="3"/>
      <c r="N2879" s="3"/>
      <c r="O2879" s="3"/>
      <c r="P2879" s="3"/>
      <c r="Q2879" s="3"/>
      <c r="R2879" s="3"/>
      <c r="S2879" s="3"/>
      <c r="T2879" s="3"/>
      <c r="U2879" s="3"/>
      <c r="V2879" s="3"/>
      <c r="W2879" s="3"/>
      <c r="X2879" s="3"/>
      <c r="Y2879" s="3"/>
      <c r="Z2879" s="3"/>
    </row>
    <row r="2880" spans="1:26" ht="15.6" x14ac:dyDescent="0.3">
      <c r="A2880" s="18" t="s">
        <v>8</v>
      </c>
      <c r="B2880" s="25" t="s">
        <v>2872</v>
      </c>
      <c r="C2880" s="2" t="str">
        <f ca="1">IFERROR(__xludf.DUMMYFUNCTION("GOOGLETRANSLATE(B2880, ""bn"", ""en"")"),"Ever since the curfew was announced, many people had moved across the Buriganga. On the afternoon of March 27, 11 local Hindus lined up in front of the Biharilal temple in Malakartala lane and made them kneel down. Among them was Dr. Harinath Dey, a resea"&amp;"rcher and teacher of biochemistry at Dhaka University. [1] Then they were kept in the police station.")</f>
        <v>Ever since the curfew was announced, many people had moved across the Buriganga. On the afternoon of March 27, 11 local Hindus lined up in front of the Biharilal temple in Malakartala lane and made them kneel down. Among them was Dr. Harinath Dey, a researcher and teacher of biochemistry at Dhaka University. [1] Then they were kept in the police station.</v>
      </c>
      <c r="D2880" s="5"/>
      <c r="E2880" s="5"/>
      <c r="F2880" s="5"/>
      <c r="G2880" s="5"/>
      <c r="H2880" s="5"/>
      <c r="I2880" s="5"/>
      <c r="J2880" s="5"/>
      <c r="K2880" s="5"/>
      <c r="L2880" s="5"/>
      <c r="M2880" s="5"/>
      <c r="N2880" s="5"/>
      <c r="O2880" s="5"/>
      <c r="P2880" s="5"/>
      <c r="Q2880" s="5"/>
      <c r="R2880" s="5"/>
      <c r="S2880" s="5"/>
      <c r="T2880" s="5"/>
      <c r="U2880" s="5"/>
      <c r="V2880" s="5"/>
      <c r="W2880" s="5"/>
      <c r="X2880" s="5"/>
      <c r="Y2880" s="5"/>
      <c r="Z2880" s="5"/>
    </row>
    <row r="2881" spans="1:26" ht="15.6" x14ac:dyDescent="0.3">
      <c r="A2881" s="18" t="s">
        <v>5</v>
      </c>
      <c r="B2881" s="25" t="s">
        <v>2873</v>
      </c>
      <c r="C2881" s="2" t="str">
        <f ca="1">IFERROR(__xludf.DUMMYFUNCTION("GOOGLETRANSLATE(B2881, ""bn"", ""en"")"),"Again, the victory is the defeat of animality, humanity, religion! A man was pushed to commit suicide! I was very shocked to know the news.")</f>
        <v>Again, the victory is the defeat of animality, humanity, religion! A man was pushed to commit suicide! I was very shocked to know the news.</v>
      </c>
      <c r="D2881" s="5"/>
      <c r="E2881" s="5"/>
      <c r="F2881" s="5"/>
      <c r="G2881" s="5"/>
      <c r="H2881" s="5"/>
      <c r="I2881" s="5"/>
      <c r="J2881" s="5"/>
      <c r="K2881" s="5"/>
      <c r="L2881" s="5"/>
      <c r="M2881" s="5"/>
      <c r="N2881" s="5"/>
      <c r="O2881" s="5"/>
      <c r="P2881" s="5"/>
      <c r="Q2881" s="5"/>
      <c r="R2881" s="5"/>
      <c r="S2881" s="5"/>
      <c r="T2881" s="5"/>
      <c r="U2881" s="5"/>
      <c r="V2881" s="5"/>
      <c r="W2881" s="5"/>
      <c r="X2881" s="5"/>
      <c r="Y2881" s="5"/>
      <c r="Z2881" s="5"/>
    </row>
    <row r="2882" spans="1:26" ht="15.6" x14ac:dyDescent="0.3">
      <c r="A2882" s="18" t="s">
        <v>23</v>
      </c>
      <c r="B2882" s="24" t="s">
        <v>2874</v>
      </c>
      <c r="C2882" s="2" t="str">
        <f ca="1">IFERROR(__xludf.DUMMYFUNCTION("GOOGLETRANSLATE(B2882, ""bn"", ""en"")"),"Some members of the Christian community create division in the society in the name of conversion.")</f>
        <v>Some members of the Christian community create division in the society in the name of conversion.</v>
      </c>
      <c r="D2882" s="5"/>
      <c r="E2882" s="5"/>
      <c r="F2882" s="5"/>
      <c r="G2882" s="5"/>
      <c r="H2882" s="5"/>
      <c r="I2882" s="5"/>
      <c r="J2882" s="5"/>
      <c r="K2882" s="5"/>
      <c r="L2882" s="5"/>
      <c r="M2882" s="5"/>
      <c r="N2882" s="5"/>
      <c r="O2882" s="5"/>
      <c r="P2882" s="5"/>
      <c r="Q2882" s="5"/>
      <c r="R2882" s="5"/>
      <c r="S2882" s="5"/>
      <c r="T2882" s="5"/>
      <c r="U2882" s="5"/>
      <c r="V2882" s="5"/>
      <c r="W2882" s="5"/>
      <c r="X2882" s="5"/>
      <c r="Y2882" s="5"/>
      <c r="Z2882" s="5"/>
    </row>
    <row r="2883" spans="1:26" ht="15.6" x14ac:dyDescent="0.3">
      <c r="A2883" s="18" t="s">
        <v>23</v>
      </c>
      <c r="B2883" s="25" t="s">
        <v>2875</v>
      </c>
      <c r="C2883" s="2" t="str">
        <f ca="1">IFERROR(__xludf.DUMMYFUNCTION("GOOGLETRANSLATE(B2883, ""bn"", ""en"")"),"He was saying, ""The Prophet (peace and blessings of Allah be upon him) has been insulted—this is a deep blow to the Muslim religious community. There will be protests against this.""")</f>
        <v>He was saying, "The Prophet (peace and blessings of Allah be upon him) has been insulted—this is a deep blow to the Muslim religious community. There will be protests against this."</v>
      </c>
      <c r="D2883" s="2"/>
      <c r="E2883" s="2"/>
      <c r="F2883" s="2"/>
      <c r="G2883" s="2"/>
      <c r="H2883" s="3"/>
      <c r="I2883" s="3"/>
      <c r="J2883" s="3"/>
      <c r="K2883" s="3"/>
      <c r="L2883" s="3"/>
      <c r="M2883" s="3"/>
      <c r="N2883" s="3"/>
      <c r="O2883" s="3"/>
      <c r="P2883" s="3"/>
      <c r="Q2883" s="3"/>
      <c r="R2883" s="3"/>
      <c r="S2883" s="3"/>
      <c r="T2883" s="3"/>
      <c r="U2883" s="3"/>
      <c r="V2883" s="3"/>
      <c r="W2883" s="3"/>
      <c r="X2883" s="3"/>
      <c r="Y2883" s="3"/>
      <c r="Z2883" s="3"/>
    </row>
    <row r="2884" spans="1:26" ht="15.6" x14ac:dyDescent="0.3">
      <c r="A2884" s="18" t="s">
        <v>5</v>
      </c>
      <c r="B2884" s="25" t="s">
        <v>2876</v>
      </c>
      <c r="C2884" s="2" t="str">
        <f ca="1">IFERROR(__xludf.DUMMYFUNCTION("GOOGLETRANSLATE(B2884, ""bn"", ""en"")"),"When the bomb blasts by JMB happened, the Ulema from all over the country made their stand clear by speaking out against it. What is the position of minority leaders?")</f>
        <v>When the bomb blasts by JMB happened, the Ulema from all over the country made their stand clear by speaking out against it. What is the position of minority leaders?</v>
      </c>
      <c r="D2884" s="2"/>
      <c r="E2884" s="2"/>
      <c r="F2884" s="2"/>
      <c r="G2884" s="2"/>
      <c r="H2884" s="3"/>
      <c r="I2884" s="3"/>
      <c r="J2884" s="3"/>
      <c r="K2884" s="3"/>
      <c r="L2884" s="3"/>
      <c r="M2884" s="3"/>
      <c r="N2884" s="3"/>
      <c r="O2884" s="3"/>
      <c r="P2884" s="3"/>
      <c r="Q2884" s="3"/>
      <c r="R2884" s="3"/>
      <c r="S2884" s="3"/>
      <c r="T2884" s="3"/>
      <c r="U2884" s="3"/>
      <c r="V2884" s="3"/>
      <c r="W2884" s="3"/>
      <c r="X2884" s="3"/>
      <c r="Y2884" s="3"/>
      <c r="Z2884" s="3"/>
    </row>
    <row r="2885" spans="1:26" ht="15.6" x14ac:dyDescent="0.3">
      <c r="A2885" s="19" t="s">
        <v>3</v>
      </c>
      <c r="B2885" s="26" t="s">
        <v>2877</v>
      </c>
      <c r="C2885" s="2" t="str">
        <f ca="1">IFERROR(__xludf.DUMMYFUNCTION("GOOGLETRANSLATE(B2885, ""bn"", ""en"")"),"A foreign country has been supporting Bangladesh since the beginning of conflict in various regions of Bangladesh. That country is also providing military assistance to Bangladesh as part of its commitment to stand by.")</f>
        <v>A foreign country has been supporting Bangladesh since the beginning of conflict in various regions of Bangladesh. That country is also providing military assistance to Bangladesh as part of its commitment to stand by.</v>
      </c>
      <c r="D2885" s="7"/>
      <c r="E2885" s="7"/>
      <c r="F2885" s="7"/>
      <c r="G2885" s="7"/>
      <c r="H2885" s="7"/>
      <c r="I2885" s="7"/>
      <c r="J2885" s="7"/>
      <c r="K2885" s="7"/>
      <c r="L2885" s="7"/>
      <c r="M2885" s="7"/>
      <c r="N2885" s="7"/>
      <c r="O2885" s="5"/>
      <c r="P2885" s="5"/>
      <c r="Q2885" s="5"/>
      <c r="R2885" s="5"/>
      <c r="S2885" s="5"/>
      <c r="T2885" s="5"/>
      <c r="U2885" s="5"/>
      <c r="V2885" s="5"/>
      <c r="W2885" s="5"/>
      <c r="X2885" s="5"/>
      <c r="Y2885" s="5"/>
      <c r="Z2885" s="5"/>
    </row>
    <row r="2886" spans="1:26" ht="15.6" x14ac:dyDescent="0.3">
      <c r="A2886" s="18" t="s">
        <v>3</v>
      </c>
      <c r="B2886" s="25" t="s">
        <v>2878</v>
      </c>
      <c r="C2886" s="2" t="str">
        <f ca="1">IFERROR(__xludf.DUMMYFUNCTION("GOOGLETRANSLATE(B2886, ""bn"", ""en"")"),"Allah says that animals are also His creations, and if they are wronged, they must be repaid, for He is the judge of all.")</f>
        <v>Allah says that animals are also His creations, and if they are wronged, they must be repaid, for He is the judge of all.</v>
      </c>
      <c r="D2886" s="2"/>
      <c r="E2886" s="2"/>
      <c r="F2886" s="2"/>
      <c r="G2886" s="2"/>
      <c r="H2886" s="3"/>
      <c r="I2886" s="3"/>
      <c r="J2886" s="3"/>
      <c r="K2886" s="3"/>
      <c r="L2886" s="3"/>
      <c r="M2886" s="3"/>
      <c r="N2886" s="3"/>
      <c r="O2886" s="3"/>
      <c r="P2886" s="3"/>
      <c r="Q2886" s="3"/>
      <c r="R2886" s="3"/>
      <c r="S2886" s="3"/>
      <c r="T2886" s="3"/>
      <c r="U2886" s="3"/>
      <c r="V2886" s="3"/>
      <c r="W2886" s="3"/>
      <c r="X2886" s="3"/>
      <c r="Y2886" s="3"/>
      <c r="Z2886" s="3"/>
    </row>
    <row r="2887" spans="1:26" ht="15.6" x14ac:dyDescent="0.3">
      <c r="A2887" s="19" t="s">
        <v>23</v>
      </c>
      <c r="B2887" s="26" t="s">
        <v>2879</v>
      </c>
      <c r="C2887" s="2" t="str">
        <f ca="1">IFERROR(__xludf.DUMMYFUNCTION("GOOGLETRANSLATE(B2887, ""bn"", ""en"")"),"From 30th October to 2nd November there were continuous attacks on Hindus.")</f>
        <v>From 30th October to 2nd November there were continuous attacks on Hindus.</v>
      </c>
      <c r="D2887" s="5"/>
      <c r="E2887" s="5"/>
      <c r="F2887" s="5"/>
      <c r="G2887" s="5"/>
      <c r="H2887" s="5"/>
      <c r="I2887" s="5"/>
      <c r="J2887" s="5"/>
      <c r="K2887" s="5"/>
      <c r="L2887" s="5"/>
      <c r="M2887" s="5"/>
      <c r="N2887" s="5"/>
      <c r="O2887" s="5"/>
      <c r="P2887" s="5"/>
      <c r="Q2887" s="5"/>
      <c r="R2887" s="5"/>
      <c r="S2887" s="5"/>
      <c r="T2887" s="5"/>
      <c r="U2887" s="5"/>
      <c r="V2887" s="5"/>
      <c r="W2887" s="5"/>
      <c r="X2887" s="5"/>
      <c r="Y2887" s="5"/>
      <c r="Z2887" s="5"/>
    </row>
    <row r="2888" spans="1:26" ht="15.6" x14ac:dyDescent="0.3">
      <c r="A2888" s="18" t="s">
        <v>5</v>
      </c>
      <c r="B2888" s="24" t="s">
        <v>2880</v>
      </c>
      <c r="C2888" s="2" t="str">
        <f ca="1">IFERROR(__xludf.DUMMYFUNCTION("GOOGLETRANSLATE(B2888, ""bn"", ""en"")"),"In April 2018, 30 people were killed in clashes between a group of religious groups; Many people were injured.")</f>
        <v>In April 2018, 30 people were killed in clashes between a group of religious groups; Many people were injured.</v>
      </c>
      <c r="D2888" s="5"/>
      <c r="E2888" s="5"/>
      <c r="F2888" s="5"/>
      <c r="G2888" s="5"/>
      <c r="H2888" s="5"/>
      <c r="I2888" s="5"/>
      <c r="J2888" s="5"/>
      <c r="K2888" s="5"/>
      <c r="L2888" s="5"/>
      <c r="M2888" s="5"/>
      <c r="N2888" s="5"/>
      <c r="O2888" s="5"/>
      <c r="P2888" s="5"/>
      <c r="Q2888" s="5"/>
      <c r="R2888" s="5"/>
      <c r="S2888" s="5"/>
      <c r="T2888" s="5"/>
      <c r="U2888" s="5"/>
      <c r="V2888" s="5"/>
      <c r="W2888" s="5"/>
      <c r="X2888" s="5"/>
      <c r="Y2888" s="5"/>
      <c r="Z2888" s="5"/>
    </row>
    <row r="2889" spans="1:26" ht="15.6" x14ac:dyDescent="0.3">
      <c r="A2889" s="18" t="s">
        <v>8</v>
      </c>
      <c r="B2889" s="25" t="s">
        <v>2881</v>
      </c>
      <c r="C2889" s="2" t="str">
        <f ca="1">IFERROR(__xludf.DUMMYFUNCTION("GOOGLETRANSLATE(B2889, ""bn"", ""en"")"),"On October 20, 2019, a house of Hindus was attacked on the pretext of a Facebook post in Borhanuddin, Bhola, later it was found that the ID was hacked.")</f>
        <v>On October 20, 2019, a house of Hindus was attacked on the pretext of a Facebook post in Borhanuddin, Bhola, later it was found that the ID was hacked.</v>
      </c>
      <c r="D2889" s="2"/>
      <c r="E2889" s="2"/>
      <c r="F2889" s="2"/>
      <c r="G2889" s="2"/>
      <c r="H2889" s="3"/>
      <c r="I2889" s="3"/>
      <c r="J2889" s="3"/>
      <c r="K2889" s="3"/>
      <c r="L2889" s="3"/>
      <c r="M2889" s="3"/>
      <c r="N2889" s="3"/>
      <c r="O2889" s="3"/>
      <c r="P2889" s="3"/>
      <c r="Q2889" s="3"/>
      <c r="R2889" s="3"/>
      <c r="S2889" s="3"/>
      <c r="T2889" s="3"/>
      <c r="U2889" s="3"/>
      <c r="V2889" s="3"/>
      <c r="W2889" s="3"/>
      <c r="X2889" s="3"/>
      <c r="Y2889" s="3"/>
      <c r="Z2889" s="3"/>
    </row>
    <row r="2890" spans="1:26" ht="15.6" x14ac:dyDescent="0.3">
      <c r="A2890" s="18" t="s">
        <v>3</v>
      </c>
      <c r="B2890" s="25" t="s">
        <v>2882</v>
      </c>
      <c r="C2890" s="2" t="str">
        <f ca="1">IFERROR(__xludf.DUMMYFUNCTION("GOOGLETRANSLATE(B2890, ""bn"", ""en"")"),"We do not want to fight religion in any way. We hope that everyone can practice their religion freely")</f>
        <v>We do not want to fight religion in any way. We hope that everyone can practice their religion freely</v>
      </c>
      <c r="D2890" s="5"/>
      <c r="E2890" s="5"/>
      <c r="F2890" s="5"/>
      <c r="G2890" s="5"/>
      <c r="H2890" s="5"/>
      <c r="I2890" s="5"/>
      <c r="J2890" s="5"/>
      <c r="K2890" s="5"/>
      <c r="L2890" s="5"/>
      <c r="M2890" s="5"/>
      <c r="N2890" s="5"/>
      <c r="O2890" s="5"/>
      <c r="P2890" s="5"/>
      <c r="Q2890" s="5"/>
      <c r="R2890" s="5"/>
      <c r="S2890" s="5"/>
      <c r="T2890" s="5"/>
      <c r="U2890" s="5"/>
      <c r="V2890" s="5"/>
      <c r="W2890" s="5"/>
      <c r="X2890" s="5"/>
      <c r="Y2890" s="5"/>
      <c r="Z2890" s="5"/>
    </row>
    <row r="2891" spans="1:26" ht="15.6" x14ac:dyDescent="0.3">
      <c r="A2891" s="19" t="s">
        <v>3</v>
      </c>
      <c r="B2891" s="26" t="s">
        <v>2883</v>
      </c>
      <c r="C2891" s="2" t="str">
        <f ca="1">IFERROR(__xludf.DUMMYFUNCTION("GOOGLETRANSLATE(B2891, ""bn"", ""en"")"),"Hindu-Muslim relations in Bangladesh are generally peaceful. I had a good relationship with a Hindu friend during my college life, we had tiffin together and stayed apart during salat.")</f>
        <v>Hindu-Muslim relations in Bangladesh are generally peaceful. I had a good relationship with a Hindu friend during my college life, we had tiffin together and stayed apart during salat.</v>
      </c>
      <c r="D2891" s="7"/>
      <c r="E2891" s="7"/>
      <c r="F2891" s="7"/>
      <c r="G2891" s="7"/>
      <c r="H2891" s="7"/>
      <c r="I2891" s="7"/>
      <c r="J2891" s="7"/>
      <c r="K2891" s="7"/>
      <c r="L2891" s="7"/>
      <c r="M2891" s="7"/>
      <c r="N2891" s="7"/>
      <c r="O2891" s="5"/>
      <c r="P2891" s="5"/>
      <c r="Q2891" s="5"/>
      <c r="R2891" s="5"/>
      <c r="S2891" s="5"/>
      <c r="T2891" s="5"/>
      <c r="U2891" s="5"/>
      <c r="V2891" s="5"/>
      <c r="W2891" s="5"/>
      <c r="X2891" s="5"/>
      <c r="Y2891" s="5"/>
      <c r="Z2891" s="5"/>
    </row>
    <row r="2892" spans="1:26" ht="15.6" x14ac:dyDescent="0.3">
      <c r="A2892" s="18" t="s">
        <v>8</v>
      </c>
      <c r="B2892" s="24" t="s">
        <v>2884</v>
      </c>
      <c r="C2892" s="2" t="str">
        <f ca="1">IFERROR(__xludf.DUMMYFUNCTION("GOOGLETRANSLATE(B2892, ""bn"", ""en"")"),"An ancient Narayan idol was smashed in an attack on an old temple in Sylhet.")</f>
        <v>An ancient Narayan idol was smashed in an attack on an old temple in Sylhet.</v>
      </c>
      <c r="D2892" s="5"/>
      <c r="E2892" s="5"/>
      <c r="F2892" s="5"/>
      <c r="G2892" s="5"/>
      <c r="H2892" s="5"/>
      <c r="I2892" s="5"/>
      <c r="J2892" s="5"/>
      <c r="K2892" s="5"/>
      <c r="L2892" s="5"/>
      <c r="M2892" s="5"/>
      <c r="N2892" s="5"/>
      <c r="O2892" s="5"/>
      <c r="P2892" s="5"/>
      <c r="Q2892" s="5"/>
      <c r="R2892" s="5"/>
      <c r="S2892" s="5"/>
      <c r="T2892" s="5"/>
      <c r="U2892" s="5"/>
      <c r="V2892" s="5"/>
      <c r="W2892" s="5"/>
      <c r="X2892" s="5"/>
      <c r="Y2892" s="5"/>
      <c r="Z2892" s="5"/>
    </row>
    <row r="2893" spans="1:26" ht="15.6" x14ac:dyDescent="0.3">
      <c r="A2893" s="18" t="s">
        <v>5</v>
      </c>
      <c r="B2893" s="25" t="s">
        <v>2885</v>
      </c>
      <c r="C2893" s="2" t="str">
        <f ca="1">IFERROR(__xludf.DUMMYFUNCTION("GOOGLETRANSLATE(B2893, ""bn"", ""en"")"),"Officials say tensions rose after the body of a young Muslim man was found next to a house that had been gutted by fire on Tuesday.")</f>
        <v>Officials say tensions rose after the body of a young Muslim man was found next to a house that had been gutted by fire on Tuesday.</v>
      </c>
      <c r="D2893" s="6"/>
      <c r="E2893" s="6"/>
      <c r="F2893" s="6"/>
      <c r="G2893" s="6"/>
      <c r="H2893" s="3"/>
      <c r="I2893" s="3"/>
      <c r="J2893" s="3"/>
      <c r="K2893" s="3"/>
      <c r="L2893" s="3"/>
      <c r="M2893" s="3"/>
      <c r="N2893" s="3"/>
      <c r="O2893" s="3"/>
      <c r="P2893" s="3"/>
      <c r="Q2893" s="3"/>
      <c r="R2893" s="3"/>
      <c r="S2893" s="3"/>
      <c r="T2893" s="3"/>
      <c r="U2893" s="3"/>
      <c r="V2893" s="3"/>
      <c r="W2893" s="3"/>
      <c r="X2893" s="3"/>
      <c r="Y2893" s="3"/>
      <c r="Z2893" s="3"/>
    </row>
    <row r="2894" spans="1:26" ht="15.6" x14ac:dyDescent="0.3">
      <c r="A2894" s="18" t="s">
        <v>3</v>
      </c>
      <c r="B2894" s="25" t="s">
        <v>2886</v>
      </c>
      <c r="C2894" s="2" t="str">
        <f ca="1">IFERROR(__xludf.DUMMYFUNCTION("GOOGLETRANSLATE(B2894, ""bn"", ""en"")"),"Only 300-400 lucky Hindus get a chance to escape to Varuna. As a result of repeated migration, Khulna, the only Hindu-majority district, also once became a Muslim-majority area.")</f>
        <v>Only 300-400 lucky Hindus get a chance to escape to Varuna. As a result of repeated migration, Khulna, the only Hindu-majority district, also once became a Muslim-majority area.</v>
      </c>
      <c r="D2894" s="2"/>
      <c r="E2894" s="2"/>
      <c r="F2894" s="2"/>
      <c r="G2894" s="2"/>
      <c r="H2894" s="3"/>
      <c r="I2894" s="3"/>
      <c r="J2894" s="3"/>
      <c r="K2894" s="3"/>
      <c r="L2894" s="3"/>
      <c r="M2894" s="3"/>
      <c r="N2894" s="3"/>
      <c r="O2894" s="3"/>
      <c r="P2894" s="3"/>
      <c r="Q2894" s="3"/>
      <c r="R2894" s="3"/>
      <c r="S2894" s="3"/>
      <c r="T2894" s="3"/>
      <c r="U2894" s="3"/>
      <c r="V2894" s="3"/>
      <c r="W2894" s="3"/>
      <c r="X2894" s="3"/>
      <c r="Y2894" s="3"/>
      <c r="Z2894" s="3"/>
    </row>
    <row r="2895" spans="1:26" ht="15.6" x14ac:dyDescent="0.3">
      <c r="A2895" s="19" t="s">
        <v>23</v>
      </c>
      <c r="B2895" s="26" t="s">
        <v>2887</v>
      </c>
      <c r="C2895" s="2" t="str">
        <f ca="1">IFERROR(__xludf.DUMMYFUNCTION("GOOGLETRANSLATE(B2895, ""bn"", ""en"")"),"In every election rally, he strongly criticized BJP's Hindutva politics.")</f>
        <v>In every election rally, he strongly criticized BJP's Hindutva politics.</v>
      </c>
      <c r="D2895" s="7"/>
      <c r="E2895" s="7"/>
      <c r="F2895" s="5"/>
      <c r="G2895" s="5"/>
      <c r="H2895" s="5"/>
      <c r="I2895" s="5"/>
      <c r="J2895" s="5"/>
      <c r="K2895" s="5"/>
      <c r="L2895" s="5"/>
      <c r="M2895" s="5"/>
      <c r="N2895" s="5"/>
      <c r="O2895" s="5"/>
      <c r="P2895" s="5"/>
      <c r="Q2895" s="5"/>
      <c r="R2895" s="5"/>
      <c r="S2895" s="5"/>
      <c r="T2895" s="5"/>
      <c r="U2895" s="5"/>
      <c r="V2895" s="5"/>
      <c r="W2895" s="5"/>
      <c r="X2895" s="5"/>
      <c r="Y2895" s="5"/>
      <c r="Z2895" s="5"/>
    </row>
    <row r="2896" spans="1:26" ht="15.6" x14ac:dyDescent="0.3">
      <c r="A2896" s="19" t="s">
        <v>3</v>
      </c>
      <c r="B2896" s="26" t="s">
        <v>2888</v>
      </c>
      <c r="C2896" s="2" t="str">
        <f ca="1">IFERROR(__xludf.DUMMYFUNCTION("GOOGLETRANSLATE(B2896, ""bn"", ""en"")"),"Allah says that it is possible to establish love and peaceful coexistence between people despite their religious differences, which is His will.")</f>
        <v>Allah says that it is possible to establish love and peaceful coexistence between people despite their religious differences, which is His will.</v>
      </c>
      <c r="D2896" s="5"/>
      <c r="E2896" s="5"/>
      <c r="F2896" s="5"/>
      <c r="G2896" s="5"/>
      <c r="H2896" s="5"/>
      <c r="I2896" s="5"/>
      <c r="J2896" s="5"/>
      <c r="K2896" s="5"/>
      <c r="L2896" s="5"/>
      <c r="M2896" s="5"/>
      <c r="N2896" s="5"/>
      <c r="O2896" s="5"/>
      <c r="P2896" s="5"/>
      <c r="Q2896" s="5"/>
      <c r="R2896" s="5"/>
      <c r="S2896" s="5"/>
      <c r="T2896" s="5"/>
      <c r="U2896" s="5"/>
      <c r="V2896" s="5"/>
      <c r="W2896" s="5"/>
      <c r="X2896" s="5"/>
      <c r="Y2896" s="5"/>
      <c r="Z2896" s="5"/>
    </row>
    <row r="2897" spans="1:26" ht="15.6" x14ac:dyDescent="0.3">
      <c r="A2897" s="18" t="s">
        <v>8</v>
      </c>
      <c r="B2897" s="25" t="s">
        <v>2889</v>
      </c>
      <c r="C2897" s="2" t="str">
        <f ca="1">IFERROR(__xludf.DUMMYFUNCTION("GOOGLETRANSLATE(B2897, ""bn"", ""en"")"),"A bombing at a mosque in Minnesota has sparked panic in the Muslim community and has been labeled a hate crime.")</f>
        <v>A bombing at a mosque in Minnesota has sparked panic in the Muslim community and has been labeled a hate crime.</v>
      </c>
      <c r="D2897" s="2"/>
      <c r="E2897" s="2"/>
      <c r="F2897" s="2"/>
      <c r="G2897" s="2"/>
      <c r="H2897" s="3"/>
      <c r="I2897" s="3"/>
      <c r="J2897" s="3"/>
      <c r="K2897" s="3"/>
      <c r="L2897" s="3"/>
      <c r="M2897" s="3"/>
      <c r="N2897" s="3"/>
      <c r="O2897" s="3"/>
      <c r="P2897" s="3"/>
      <c r="Q2897" s="3"/>
      <c r="R2897" s="3"/>
      <c r="S2897" s="3"/>
      <c r="T2897" s="3"/>
      <c r="U2897" s="3"/>
      <c r="V2897" s="3"/>
      <c r="W2897" s="3"/>
      <c r="X2897" s="3"/>
      <c r="Y2897" s="3"/>
      <c r="Z2897" s="3"/>
    </row>
    <row r="2898" spans="1:26" ht="15.6" x14ac:dyDescent="0.3">
      <c r="A2898" s="19" t="s">
        <v>3</v>
      </c>
      <c r="B2898" s="26" t="s">
        <v>2890</v>
      </c>
      <c r="C2898" s="2" t="str">
        <f ca="1">IFERROR(__xludf.DUMMYFUNCTION("GOOGLETRANSLATE(B2898, ""bn"", ""en"")"),"In a letter from the Faculty of Arts, the reason for not taking disciplinary action against the students for organizing Quran recitation in Battala has been written to the Arabic Department.")</f>
        <v>In a letter from the Faculty of Arts, the reason for not taking disciplinary action against the students for organizing Quran recitation in Battala has been written to the Arabic Department.</v>
      </c>
      <c r="D2898" s="7"/>
      <c r="E2898" s="7"/>
      <c r="F2898" s="7"/>
      <c r="G2898" s="7"/>
      <c r="H2898" s="7"/>
      <c r="I2898" s="7"/>
      <c r="J2898" s="7"/>
      <c r="K2898" s="7"/>
      <c r="L2898" s="7"/>
      <c r="M2898" s="7"/>
      <c r="N2898" s="7"/>
      <c r="O2898" s="5"/>
      <c r="P2898" s="5"/>
      <c r="Q2898" s="5"/>
      <c r="R2898" s="5"/>
      <c r="S2898" s="5"/>
      <c r="T2898" s="5"/>
      <c r="U2898" s="5"/>
      <c r="V2898" s="5"/>
      <c r="W2898" s="5"/>
      <c r="X2898" s="5"/>
      <c r="Y2898" s="5"/>
      <c r="Z2898" s="5"/>
    </row>
    <row r="2899" spans="1:26" ht="15.6" x14ac:dyDescent="0.3">
      <c r="A2899" s="18" t="s">
        <v>5</v>
      </c>
      <c r="B2899" s="25" t="s">
        <v>2891</v>
      </c>
      <c r="C2899" s="2" t="str">
        <f ca="1">IFERROR(__xludf.DUMMYFUNCTION("GOOGLETRANSLATE(B2899, ""bn"", ""en"")"),"One person was reportedly killed and several others injured in police firing during clashes between two religious groups.")</f>
        <v>One person was reportedly killed and several others injured in police firing during clashes between two religious groups.</v>
      </c>
      <c r="D2899" s="6"/>
      <c r="E2899" s="6"/>
      <c r="F2899" s="2"/>
      <c r="G2899" s="2"/>
      <c r="H2899" s="3"/>
      <c r="I2899" s="3"/>
      <c r="J2899" s="3"/>
      <c r="K2899" s="3"/>
      <c r="L2899" s="3"/>
      <c r="M2899" s="3"/>
      <c r="N2899" s="3"/>
      <c r="O2899" s="3"/>
      <c r="P2899" s="3"/>
      <c r="Q2899" s="3"/>
      <c r="R2899" s="3"/>
      <c r="S2899" s="3"/>
      <c r="T2899" s="3"/>
      <c r="U2899" s="3"/>
      <c r="V2899" s="3"/>
      <c r="W2899" s="3"/>
      <c r="X2899" s="3"/>
      <c r="Y2899" s="3"/>
      <c r="Z2899" s="3"/>
    </row>
    <row r="2900" spans="1:26" ht="15.6" x14ac:dyDescent="0.3">
      <c r="A2900" s="19" t="s">
        <v>8</v>
      </c>
      <c r="B2900" s="26" t="s">
        <v>2892</v>
      </c>
      <c r="C2900" s="2" t="str">
        <f ca="1">IFERROR(__xludf.DUMMYFUNCTION("GOOGLETRANSLATE(B2900, ""bn"", ""en"")"),"During a gathering of devotees at Pir's shrine in Madaripur, extremist groups from outside attacked and looted the donation box and broke the gate of the grave.")</f>
        <v>During a gathering of devotees at Pir's shrine in Madaripur, extremist groups from outside attacked and looted the donation box and broke the gate of the grave.</v>
      </c>
      <c r="D2900" s="5"/>
      <c r="E2900" s="5"/>
      <c r="F2900" s="5"/>
      <c r="G2900" s="5"/>
      <c r="H2900" s="5"/>
      <c r="I2900" s="5"/>
      <c r="J2900" s="5"/>
      <c r="K2900" s="5"/>
      <c r="L2900" s="5"/>
      <c r="M2900" s="5"/>
      <c r="N2900" s="5"/>
      <c r="O2900" s="5"/>
      <c r="P2900" s="5"/>
      <c r="Q2900" s="5"/>
      <c r="R2900" s="5"/>
      <c r="S2900" s="5"/>
      <c r="T2900" s="5"/>
      <c r="U2900" s="5"/>
      <c r="V2900" s="5"/>
      <c r="W2900" s="5"/>
      <c r="X2900" s="5"/>
      <c r="Y2900" s="5"/>
      <c r="Z2900" s="5"/>
    </row>
    <row r="2901" spans="1:26" ht="15.6" x14ac:dyDescent="0.3">
      <c r="A2901" s="18" t="s">
        <v>23</v>
      </c>
      <c r="B2901" s="25" t="s">
        <v>2893</v>
      </c>
      <c r="C2901" s="2" t="str">
        <f ca="1">IFERROR(__xludf.DUMMYFUNCTION("GOOGLETRANSLATE(B2901, ""bn"", ""en"")"),"I strongly condemn this kind of desecration of the Qur'an and soon Allah Almighty will show them the consequences, Insha'Allah.")</f>
        <v>I strongly condemn this kind of desecration of the Qur'an and soon Allah Almighty will show them the consequences, Insha'Allah.</v>
      </c>
      <c r="D2901" s="5"/>
      <c r="E2901" s="5"/>
      <c r="F2901" s="5"/>
      <c r="G2901" s="5"/>
      <c r="H2901" s="5"/>
      <c r="I2901" s="5"/>
      <c r="J2901" s="5"/>
      <c r="K2901" s="5"/>
      <c r="L2901" s="5"/>
      <c r="M2901" s="5"/>
      <c r="N2901" s="5"/>
      <c r="O2901" s="5"/>
      <c r="P2901" s="5"/>
      <c r="Q2901" s="5"/>
      <c r="R2901" s="5"/>
      <c r="S2901" s="5"/>
      <c r="T2901" s="5"/>
      <c r="U2901" s="5"/>
      <c r="V2901" s="5"/>
      <c r="W2901" s="5"/>
      <c r="X2901" s="5"/>
      <c r="Y2901" s="5"/>
      <c r="Z2901" s="5"/>
    </row>
    <row r="2902" spans="1:26" ht="15.6" x14ac:dyDescent="0.3">
      <c r="A2902" s="18" t="s">
        <v>3</v>
      </c>
      <c r="B2902" s="25" t="s">
        <v>2894</v>
      </c>
      <c r="C2902" s="2" t="str">
        <f ca="1">IFERROR(__xludf.DUMMYFUNCTION("GOOGLETRANSLATE(B2902, ""bn"", ""en"")"),"Against pagan beliefs the Quran establishes monotheism and opposes idolatry.")</f>
        <v>Against pagan beliefs the Quran establishes monotheism and opposes idolatry.</v>
      </c>
      <c r="D2902" s="2"/>
      <c r="E2902" s="2"/>
      <c r="F2902" s="2"/>
      <c r="G2902" s="2"/>
      <c r="H2902" s="3"/>
      <c r="I2902" s="3"/>
      <c r="J2902" s="3"/>
      <c r="K2902" s="3"/>
      <c r="L2902" s="3"/>
      <c r="M2902" s="3"/>
      <c r="N2902" s="3"/>
      <c r="O2902" s="3"/>
      <c r="P2902" s="3"/>
      <c r="Q2902" s="3"/>
      <c r="R2902" s="3"/>
      <c r="S2902" s="3"/>
      <c r="T2902" s="3"/>
      <c r="U2902" s="3"/>
      <c r="V2902" s="3"/>
      <c r="W2902" s="3"/>
      <c r="X2902" s="3"/>
      <c r="Y2902" s="3"/>
      <c r="Z2902" s="3"/>
    </row>
    <row r="2903" spans="1:26" ht="15.6" x14ac:dyDescent="0.3">
      <c r="A2903" s="18" t="s">
        <v>5</v>
      </c>
      <c r="B2903" s="24" t="s">
        <v>2895</v>
      </c>
      <c r="C2903" s="2" t="str">
        <f ca="1">IFERROR(__xludf.DUMMYFUNCTION("GOOGLETRANSLATE(B2903, ""bn"", ""en"")"),"33 killed in attacks on minorities in Bogra; Many were injured.")</f>
        <v>33 killed in attacks on minorities in Bogra; Many were injured.</v>
      </c>
      <c r="D2903" s="5"/>
      <c r="E2903" s="5"/>
      <c r="F2903" s="5"/>
      <c r="G2903" s="5"/>
      <c r="H2903" s="5"/>
      <c r="I2903" s="5"/>
      <c r="J2903" s="5"/>
      <c r="K2903" s="5"/>
      <c r="L2903" s="5"/>
      <c r="M2903" s="5"/>
      <c r="N2903" s="5"/>
      <c r="O2903" s="5"/>
      <c r="P2903" s="5"/>
      <c r="Q2903" s="5"/>
      <c r="R2903" s="5"/>
      <c r="S2903" s="5"/>
      <c r="T2903" s="5"/>
      <c r="U2903" s="5"/>
      <c r="V2903" s="5"/>
      <c r="W2903" s="5"/>
      <c r="X2903" s="5"/>
      <c r="Y2903" s="5"/>
      <c r="Z2903" s="5"/>
    </row>
    <row r="2904" spans="1:26" ht="15.6" x14ac:dyDescent="0.3">
      <c r="A2904" s="18" t="s">
        <v>8</v>
      </c>
      <c r="B2904" s="25" t="s">
        <v>2896</v>
      </c>
      <c r="C2904" s="2" t="str">
        <f ca="1">IFERROR(__xludf.DUMMYFUNCTION("GOOGLETRANSLATE(B2904, ""bn"", ""en"")"),"A Mughal-ordered shrine was destroyed by religious extremists in 1992, sparking sectarian violence across the subcontinent, including in Bangladesh.")</f>
        <v>A Mughal-ordered shrine was destroyed by religious extremists in 1992, sparking sectarian violence across the subcontinent, including in Bangladesh.</v>
      </c>
      <c r="D2904" s="5"/>
      <c r="E2904" s="5"/>
      <c r="F2904" s="5"/>
      <c r="G2904" s="5"/>
      <c r="H2904" s="5"/>
      <c r="I2904" s="5"/>
      <c r="J2904" s="5"/>
      <c r="K2904" s="5"/>
      <c r="L2904" s="5"/>
      <c r="M2904" s="5"/>
      <c r="N2904" s="5"/>
      <c r="O2904" s="5"/>
      <c r="P2904" s="5"/>
      <c r="Q2904" s="5"/>
      <c r="R2904" s="5"/>
      <c r="S2904" s="5"/>
      <c r="T2904" s="5"/>
      <c r="U2904" s="5"/>
      <c r="V2904" s="5"/>
      <c r="W2904" s="5"/>
      <c r="X2904" s="5"/>
      <c r="Y2904" s="5"/>
      <c r="Z2904" s="5"/>
    </row>
    <row r="2905" spans="1:26" ht="15.6" x14ac:dyDescent="0.3">
      <c r="A2905" s="19" t="s">
        <v>8</v>
      </c>
      <c r="B2905" s="26" t="s">
        <v>2897</v>
      </c>
      <c r="C2905" s="2" t="str">
        <f ca="1">IFERROR(__xludf.DUMMYFUNCTION("GOOGLETRANSLATE(B2905, ""bn"", ""en"")"),"Communal violence between Hindus and Muslims has been on the rise, especially since the demolition of the Babri Masjid.")</f>
        <v>Communal violence between Hindus and Muslims has been on the rise, especially since the demolition of the Babri Masjid.</v>
      </c>
      <c r="D2905" s="7"/>
      <c r="E2905" s="7"/>
      <c r="F2905" s="7"/>
      <c r="G2905" s="5"/>
      <c r="H2905" s="5"/>
      <c r="I2905" s="5"/>
      <c r="J2905" s="5"/>
      <c r="K2905" s="5"/>
      <c r="L2905" s="5"/>
      <c r="M2905" s="5"/>
      <c r="N2905" s="5"/>
      <c r="O2905" s="5"/>
      <c r="P2905" s="5"/>
      <c r="Q2905" s="5"/>
      <c r="R2905" s="5"/>
      <c r="S2905" s="5"/>
      <c r="T2905" s="5"/>
      <c r="U2905" s="5"/>
      <c r="V2905" s="5"/>
      <c r="W2905" s="5"/>
      <c r="X2905" s="5"/>
      <c r="Y2905" s="5"/>
      <c r="Z2905" s="5"/>
    </row>
    <row r="2906" spans="1:26" ht="15.6" x14ac:dyDescent="0.3">
      <c r="A2906" s="18" t="s">
        <v>23</v>
      </c>
      <c r="B2906" s="25" t="s">
        <v>2898</v>
      </c>
      <c r="C2906" s="2" t="str">
        <f ca="1">IFERROR(__xludf.DUMMYFUNCTION("GOOGLETRANSLATE(B2906, ""bn"", ""en"")"),"Embrace all the visible symbols of Islam. Increase from what they used to hold. The above words of the Prophet will also be followed: contrast with the Gentiles.")</f>
        <v>Embrace all the visible symbols of Islam. Increase from what they used to hold. The above words of the Prophet will also be followed: contrast with the Gentiles.</v>
      </c>
      <c r="D2906" s="5"/>
      <c r="E2906" s="5"/>
      <c r="F2906" s="5"/>
      <c r="G2906" s="5"/>
      <c r="H2906" s="5"/>
      <c r="I2906" s="5"/>
      <c r="J2906" s="5"/>
      <c r="K2906" s="5"/>
      <c r="L2906" s="5"/>
      <c r="M2906" s="5"/>
      <c r="N2906" s="5"/>
      <c r="O2906" s="5"/>
      <c r="P2906" s="5"/>
      <c r="Q2906" s="5"/>
      <c r="R2906" s="5"/>
      <c r="S2906" s="5"/>
      <c r="T2906" s="5"/>
      <c r="U2906" s="5"/>
      <c r="V2906" s="5"/>
      <c r="W2906" s="5"/>
      <c r="X2906" s="5"/>
      <c r="Y2906" s="5"/>
      <c r="Z2906" s="5"/>
    </row>
    <row r="2907" spans="1:26" ht="15.6" x14ac:dyDescent="0.3">
      <c r="A2907" s="18" t="s">
        <v>3</v>
      </c>
      <c r="B2907" s="25" t="s">
        <v>2899</v>
      </c>
      <c r="C2907" s="2" t="str">
        <f ca="1">IFERROR(__xludf.DUMMYFUNCTION("GOOGLETRANSLATE(B2907, ""bn"", ""en"")"),"By obeying Allah's guidance, we understand the purpose and goal of life, and Allah brings happiness and peace in our lives.")</f>
        <v>By obeying Allah's guidance, we understand the purpose and goal of life, and Allah brings happiness and peace in our lives.</v>
      </c>
      <c r="D2907" s="5"/>
      <c r="E2907" s="5"/>
      <c r="F2907" s="5"/>
      <c r="G2907" s="5"/>
      <c r="H2907" s="5"/>
      <c r="I2907" s="5"/>
      <c r="J2907" s="5"/>
      <c r="K2907" s="5"/>
      <c r="L2907" s="5"/>
      <c r="M2907" s="5"/>
      <c r="N2907" s="5"/>
      <c r="O2907" s="5"/>
      <c r="P2907" s="5"/>
      <c r="Q2907" s="5"/>
      <c r="R2907" s="5"/>
      <c r="S2907" s="5"/>
      <c r="T2907" s="5"/>
      <c r="U2907" s="5"/>
      <c r="V2907" s="5"/>
      <c r="W2907" s="5"/>
      <c r="X2907" s="5"/>
      <c r="Y2907" s="5"/>
      <c r="Z2907" s="5"/>
    </row>
    <row r="2908" spans="1:26" ht="15.6" x14ac:dyDescent="0.3">
      <c r="A2908" s="18" t="s">
        <v>5</v>
      </c>
      <c r="B2908" s="25" t="s">
        <v>2900</v>
      </c>
      <c r="C2908" s="2" t="str">
        <f ca="1">IFERROR(__xludf.DUMMYFUNCTION("GOOGLETRANSLATE(B2908, ""bn"", ""en"")"),"After the Gulshan attack, on the morning of Eid on July 7, there was a bomb attack on policemen on security duty near the country's largest Eid congregation at Sholakia in Kishoreganj. Two constables were killed in the first blow.")</f>
        <v>After the Gulshan attack, on the morning of Eid on July 7, there was a bomb attack on policemen on security duty near the country's largest Eid congregation at Sholakia in Kishoreganj. Two constables were killed in the first blow.</v>
      </c>
      <c r="D2908" s="2"/>
      <c r="E2908" s="2"/>
      <c r="F2908" s="2"/>
      <c r="G2908" s="2"/>
      <c r="H2908" s="3"/>
      <c r="I2908" s="3"/>
      <c r="J2908" s="3"/>
      <c r="K2908" s="3"/>
      <c r="L2908" s="3"/>
      <c r="M2908" s="3"/>
      <c r="N2908" s="3"/>
      <c r="O2908" s="3"/>
      <c r="P2908" s="3"/>
      <c r="Q2908" s="3"/>
      <c r="R2908" s="3"/>
      <c r="S2908" s="3"/>
      <c r="T2908" s="3"/>
      <c r="U2908" s="3"/>
      <c r="V2908" s="3"/>
      <c r="W2908" s="3"/>
      <c r="X2908" s="3"/>
      <c r="Y2908" s="3"/>
      <c r="Z2908" s="3"/>
    </row>
    <row r="2909" spans="1:26" ht="15.6" x14ac:dyDescent="0.3">
      <c r="A2909" s="18" t="s">
        <v>3</v>
      </c>
      <c r="B2909" s="25" t="s">
        <v>2901</v>
      </c>
      <c r="C2909" s="2" t="str">
        <f ca="1">IFERROR(__xludf.DUMMYFUNCTION("GOOGLETRANSLATE(B2909, ""bn"", ""en"")"),"Freedom of religion is a basic framework guaranteed by the constitution of Bangladesh, which calls for equal rights for all citizens regardless of religious differences and prohibits discrimination of religion in various fields.")</f>
        <v>Freedom of religion is a basic framework guaranteed by the constitution of Bangladesh, which calls for equal rights for all citizens regardless of religious differences and prohibits discrimination of religion in various fields.</v>
      </c>
      <c r="D2909" s="5"/>
      <c r="E2909" s="5"/>
      <c r="F2909" s="5"/>
      <c r="G2909" s="5"/>
      <c r="H2909" s="5"/>
      <c r="I2909" s="5"/>
      <c r="J2909" s="5"/>
      <c r="K2909" s="5"/>
      <c r="L2909" s="5"/>
      <c r="M2909" s="5"/>
      <c r="N2909" s="5"/>
      <c r="O2909" s="5"/>
      <c r="P2909" s="5"/>
      <c r="Q2909" s="5"/>
      <c r="R2909" s="5"/>
      <c r="S2909" s="5"/>
      <c r="T2909" s="5"/>
      <c r="U2909" s="5"/>
      <c r="V2909" s="5"/>
      <c r="W2909" s="5"/>
      <c r="X2909" s="5"/>
      <c r="Y2909" s="5"/>
      <c r="Z2909" s="5"/>
    </row>
    <row r="2910" spans="1:26" ht="15.6" x14ac:dyDescent="0.3">
      <c r="A2910" s="18" t="s">
        <v>5</v>
      </c>
      <c r="B2910" s="24" t="s">
        <v>2902</v>
      </c>
      <c r="C2910" s="2" t="str">
        <f ca="1">IFERROR(__xludf.DUMMYFUNCTION("GOOGLETRANSLATE(B2910, ""bn"", ""en"")"),"At least 45 people from the minority Hindu community were killed in a religious clash in a predominantly Muslim village in Comilla. The attackers demolished temples and destroyed houses. Many are left homeless and their livelihoods are permanently threate"&amp;"ned. Security forces reached the spot late, which further worsened the situation.")</f>
        <v>At least 45 people from the minority Hindu community were killed in a religious clash in a predominantly Muslim village in Comilla. The attackers demolished temples and destroyed houses. Many are left homeless and their livelihoods are permanently threatened. Security forces reached the spot late, which further worsened the situation.</v>
      </c>
      <c r="D2910" s="5"/>
      <c r="E2910" s="5"/>
      <c r="F2910" s="5"/>
      <c r="G2910" s="5"/>
      <c r="H2910" s="5"/>
      <c r="I2910" s="5"/>
      <c r="J2910" s="5"/>
      <c r="K2910" s="5"/>
      <c r="L2910" s="5"/>
      <c r="M2910" s="5"/>
      <c r="N2910" s="5"/>
      <c r="O2910" s="5"/>
      <c r="P2910" s="5"/>
      <c r="Q2910" s="5"/>
      <c r="R2910" s="5"/>
      <c r="S2910" s="5"/>
      <c r="T2910" s="5"/>
      <c r="U2910" s="5"/>
      <c r="V2910" s="5"/>
      <c r="W2910" s="5"/>
      <c r="X2910" s="5"/>
      <c r="Y2910" s="5"/>
      <c r="Z2910" s="5"/>
    </row>
    <row r="2911" spans="1:26" ht="15.6" x14ac:dyDescent="0.3">
      <c r="A2911" s="18" t="s">
        <v>5</v>
      </c>
      <c r="B2911" s="25" t="s">
        <v>2903</v>
      </c>
      <c r="C2911" s="2" t="str">
        <f ca="1">IFERROR(__xludf.DUMMYFUNCTION("GOOGLETRANSLATE(B2911, ""bn"", ""en"")"),"The president of a union council in Jhenaidah killed a Shia religious leader, sparking widespread controversy and tension locally and internationally.")</f>
        <v>The president of a union council in Jhenaidah killed a Shia religious leader, sparking widespread controversy and tension locally and internationally.</v>
      </c>
      <c r="D2911" s="2"/>
      <c r="E2911" s="2"/>
      <c r="F2911" s="2"/>
      <c r="G2911" s="2"/>
      <c r="H2911" s="5"/>
      <c r="I2911" s="5"/>
      <c r="J2911" s="5"/>
      <c r="K2911" s="5"/>
      <c r="L2911" s="5"/>
      <c r="M2911" s="5"/>
      <c r="N2911" s="5"/>
      <c r="O2911" s="5"/>
      <c r="P2911" s="5"/>
      <c r="Q2911" s="5"/>
      <c r="R2911" s="5"/>
      <c r="S2911" s="5"/>
      <c r="T2911" s="5"/>
      <c r="U2911" s="5"/>
      <c r="V2911" s="5"/>
      <c r="W2911" s="5"/>
      <c r="X2911" s="5"/>
      <c r="Y2911" s="5"/>
      <c r="Z2911" s="5"/>
    </row>
    <row r="2912" spans="1:26" ht="15.6" x14ac:dyDescent="0.3">
      <c r="A2912" s="18" t="s">
        <v>8</v>
      </c>
      <c r="B2912" s="25" t="s">
        <v>2904</v>
      </c>
      <c r="C2912" s="2" t="str">
        <f ca="1">IFERROR(__xludf.DUMMYFUNCTION("GOOGLETRANSLATE(B2912, ""bn"", ""en"")"),"Does religion support killing. As far as I know no religion does. But what happens is what happens. Who asked to believe. Those who can tell who caused the incident before it happened!")</f>
        <v>Does religion support killing. As far as I know no religion does. But what happens is what happens. Who asked to believe. Those who can tell who caused the incident before it happened!</v>
      </c>
      <c r="D2912" s="5"/>
      <c r="E2912" s="5"/>
      <c r="F2912" s="5"/>
      <c r="G2912" s="5"/>
      <c r="H2912" s="5"/>
      <c r="I2912" s="5"/>
      <c r="J2912" s="5"/>
      <c r="K2912" s="5"/>
      <c r="L2912" s="5"/>
      <c r="M2912" s="5"/>
      <c r="N2912" s="5"/>
      <c r="O2912" s="5"/>
      <c r="P2912" s="5"/>
      <c r="Q2912" s="5"/>
      <c r="R2912" s="5"/>
      <c r="S2912" s="5"/>
      <c r="T2912" s="5"/>
      <c r="U2912" s="5"/>
      <c r="V2912" s="5"/>
      <c r="W2912" s="5"/>
      <c r="X2912" s="5"/>
      <c r="Y2912" s="5"/>
      <c r="Z2912" s="5"/>
    </row>
    <row r="2913" spans="1:26" ht="15.6" x14ac:dyDescent="0.3">
      <c r="A2913" s="19" t="s">
        <v>8</v>
      </c>
      <c r="B2913" s="26" t="s">
        <v>2905</v>
      </c>
      <c r="C2913" s="2" t="str">
        <f ca="1">IFERROR(__xludf.DUMMYFUNCTION("GOOGLETRANSLATE(B2913, ""bn"", ""en"")"),"The war of Muslims with them can be taken as a family,,,, it means like the children fight with the property of the father,,,,,, the conflict of Abrahamic religion about the holy land is just like that,,,.")</f>
        <v>The war of Muslims with them can be taken as a family,,,, it means like the children fight with the property of the father,,,,,, the conflict of Abrahamic religion about the holy land is just like that,,,.</v>
      </c>
      <c r="D2913" s="5"/>
      <c r="E2913" s="5"/>
      <c r="F2913" s="5"/>
      <c r="G2913" s="5"/>
      <c r="H2913" s="5"/>
      <c r="I2913" s="5"/>
      <c r="J2913" s="5"/>
      <c r="K2913" s="5"/>
      <c r="L2913" s="5"/>
      <c r="M2913" s="5"/>
      <c r="N2913" s="5"/>
      <c r="O2913" s="5"/>
      <c r="P2913" s="5"/>
      <c r="Q2913" s="5"/>
      <c r="R2913" s="5"/>
      <c r="S2913" s="5"/>
      <c r="T2913" s="5"/>
      <c r="U2913" s="5"/>
      <c r="V2913" s="5"/>
      <c r="W2913" s="5"/>
      <c r="X2913" s="5"/>
      <c r="Y2913" s="5"/>
      <c r="Z2913" s="5"/>
    </row>
    <row r="2914" spans="1:26" ht="15.6" x14ac:dyDescent="0.3">
      <c r="A2914" s="18" t="s">
        <v>5</v>
      </c>
      <c r="B2914" s="24" t="s">
        <v>2906</v>
      </c>
      <c r="C2914" s="2" t="str">
        <f ca="1">IFERROR(__xludf.DUMMYFUNCTION("GOOGLETRANSLATE(B2914, ""bn"", ""en"")"),"A blogger was publicly killed for religious dissent in Sirajganj; 18 people were killed in the protest.")</f>
        <v>A blogger was publicly killed for religious dissent in Sirajganj; 18 people were killed in the protest.</v>
      </c>
      <c r="D2914" s="5"/>
      <c r="E2914" s="5"/>
      <c r="F2914" s="5"/>
      <c r="G2914" s="5"/>
      <c r="H2914" s="5"/>
      <c r="I2914" s="5"/>
      <c r="J2914" s="5"/>
      <c r="K2914" s="5"/>
      <c r="L2914" s="5"/>
      <c r="M2914" s="5"/>
      <c r="N2914" s="5"/>
      <c r="O2914" s="5"/>
      <c r="P2914" s="5"/>
      <c r="Q2914" s="5"/>
      <c r="R2914" s="5"/>
      <c r="S2914" s="5"/>
      <c r="T2914" s="5"/>
      <c r="U2914" s="5"/>
      <c r="V2914" s="5"/>
      <c r="W2914" s="5"/>
      <c r="X2914" s="5"/>
      <c r="Y2914" s="5"/>
      <c r="Z2914" s="5"/>
    </row>
    <row r="2915" spans="1:26" ht="15.6" x14ac:dyDescent="0.3">
      <c r="A2915" s="18" t="s">
        <v>23</v>
      </c>
      <c r="B2915" s="25" t="s">
        <v>2907</v>
      </c>
      <c r="C2915" s="2" t="str">
        <f ca="1">IFERROR(__xludf.DUMMYFUNCTION("GOOGLETRANSLATE(B2915, ""bn"", ""en"")"),"Islamists in Bangladesh are systematically exterminating Hindus in the name of religion. After a few days, there will not be a single Hindu in this country, it is nothing but a declaration of victory of Islamic extremism.")</f>
        <v>Islamists in Bangladesh are systematically exterminating Hindus in the name of religion. After a few days, there will not be a single Hindu in this country, it is nothing but a declaration of victory of Islamic extremism.</v>
      </c>
      <c r="D2915" s="5"/>
      <c r="E2915" s="5"/>
      <c r="F2915" s="5"/>
      <c r="G2915" s="5"/>
      <c r="H2915" s="5"/>
      <c r="I2915" s="5"/>
      <c r="J2915" s="5"/>
      <c r="K2915" s="5"/>
      <c r="L2915" s="5"/>
      <c r="M2915" s="5"/>
      <c r="N2915" s="5"/>
      <c r="O2915" s="5"/>
      <c r="P2915" s="5"/>
      <c r="Q2915" s="5"/>
      <c r="R2915" s="5"/>
      <c r="S2915" s="5"/>
      <c r="T2915" s="5"/>
      <c r="U2915" s="5"/>
      <c r="V2915" s="5"/>
      <c r="W2915" s="5"/>
      <c r="X2915" s="5"/>
      <c r="Y2915" s="5"/>
      <c r="Z2915" s="5"/>
    </row>
    <row r="2916" spans="1:26" ht="15.6" x14ac:dyDescent="0.3">
      <c r="A2916" s="18" t="s">
        <v>8</v>
      </c>
      <c r="B2916" s="25" t="s">
        <v>2908</v>
      </c>
      <c r="C2916" s="2" t="str">
        <f ca="1">IFERROR(__xludf.DUMMYFUNCTION("GOOGLETRANSLATE(B2916, ""bn"", ""en"")"),"In Chapainawabganj in 2021 there was a riot with looting and vandalism against Hindu refugees. Many women and children could not find safe shelter.")</f>
        <v>In Chapainawabganj in 2021 there was a riot with looting and vandalism against Hindu refugees. Many women and children could not find safe shelter.</v>
      </c>
      <c r="D2916" s="2"/>
      <c r="E2916" s="2"/>
      <c r="F2916" s="2"/>
      <c r="G2916" s="2"/>
      <c r="H2916" s="5"/>
      <c r="I2916" s="5"/>
      <c r="J2916" s="5"/>
      <c r="K2916" s="5"/>
      <c r="L2916" s="5"/>
      <c r="M2916" s="5"/>
      <c r="N2916" s="5"/>
      <c r="O2916" s="5"/>
      <c r="P2916" s="5"/>
      <c r="Q2916" s="5"/>
      <c r="R2916" s="5"/>
      <c r="S2916" s="5"/>
      <c r="T2916" s="5"/>
      <c r="U2916" s="5"/>
      <c r="V2916" s="5"/>
      <c r="W2916" s="5"/>
      <c r="X2916" s="5"/>
      <c r="Y2916" s="5"/>
      <c r="Z2916" s="5"/>
    </row>
    <row r="2917" spans="1:26" ht="15.6" x14ac:dyDescent="0.3">
      <c r="A2917" s="18" t="s">
        <v>23</v>
      </c>
      <c r="B2917" s="25" t="s">
        <v>2909</v>
      </c>
      <c r="C2917" s="2" t="str">
        <f ca="1">IFERROR(__xludf.DUMMYFUNCTION("GOOGLETRANSLATE(B2917, ""bn"", ""en"")"),"Rather soon we will see that nothing will happen to those involved in the incident. And those who will protest and demand punishment will start assault cases and harassment.")</f>
        <v>Rather soon we will see that nothing will happen to those involved in the incident. And those who will protest and demand punishment will start assault cases and harassment.</v>
      </c>
      <c r="D2917" s="5"/>
      <c r="E2917" s="5"/>
      <c r="F2917" s="5"/>
      <c r="G2917" s="5"/>
      <c r="H2917" s="5"/>
      <c r="I2917" s="5"/>
      <c r="J2917" s="5"/>
      <c r="K2917" s="5"/>
      <c r="L2917" s="5"/>
      <c r="M2917" s="5"/>
      <c r="N2917" s="5"/>
      <c r="O2917" s="5"/>
      <c r="P2917" s="5"/>
      <c r="Q2917" s="5"/>
      <c r="R2917" s="5"/>
      <c r="S2917" s="5"/>
      <c r="T2917" s="5"/>
      <c r="U2917" s="5"/>
      <c r="V2917" s="5"/>
      <c r="W2917" s="5"/>
      <c r="X2917" s="5"/>
      <c r="Y2917" s="5"/>
      <c r="Z2917" s="5"/>
    </row>
    <row r="2918" spans="1:26" ht="15.6" x14ac:dyDescent="0.3">
      <c r="A2918" s="18" t="s">
        <v>8</v>
      </c>
      <c r="B2918" s="25" t="s">
        <v>2910</v>
      </c>
      <c r="C2918" s="2" t="str">
        <f ca="1">IFERROR(__xludf.DUMMYFUNCTION("GOOGLETRANSLATE(B2918, ""bn"", ""en"")"),"The miscreants entered the homestead shouting Islamic slogans and ran rampant throughout the village. During this time they beat, threatened, abused the people of the Hindu community in unspeakable and offensive language.")</f>
        <v>The miscreants entered the homestead shouting Islamic slogans and ran rampant throughout the village. During this time they beat, threatened, abused the people of the Hindu community in unspeakable and offensive language.</v>
      </c>
      <c r="D2918" s="5"/>
      <c r="E2918" s="5"/>
      <c r="F2918" s="5"/>
      <c r="G2918" s="5"/>
      <c r="H2918" s="5"/>
      <c r="I2918" s="5"/>
      <c r="J2918" s="5"/>
      <c r="K2918" s="5"/>
      <c r="L2918" s="5"/>
      <c r="M2918" s="5"/>
      <c r="N2918" s="5"/>
      <c r="O2918" s="5"/>
      <c r="P2918" s="5"/>
      <c r="Q2918" s="5"/>
      <c r="R2918" s="5"/>
      <c r="S2918" s="5"/>
      <c r="T2918" s="5"/>
      <c r="U2918" s="5"/>
      <c r="V2918" s="5"/>
      <c r="W2918" s="5"/>
      <c r="X2918" s="5"/>
      <c r="Y2918" s="5"/>
      <c r="Z2918" s="5"/>
    </row>
    <row r="2919" spans="1:26" ht="15.6" x14ac:dyDescent="0.3">
      <c r="A2919" s="18" t="s">
        <v>5</v>
      </c>
      <c r="B2919" s="24" t="s">
        <v>2911</v>
      </c>
      <c r="C2919" s="2" t="str">
        <f ca="1">IFERROR(__xludf.DUMMYFUNCTION("GOOGLETRANSLATE(B2919, ""bn"", ""en"")"),"In November 2017, local administrations failed to control the violence after a group attacked minorities, killing 24 people.")</f>
        <v>In November 2017, local administrations failed to control the violence after a group attacked minorities, killing 24 people.</v>
      </c>
      <c r="D2919" s="5"/>
      <c r="E2919" s="5"/>
      <c r="F2919" s="5"/>
      <c r="G2919" s="5"/>
      <c r="H2919" s="5"/>
      <c r="I2919" s="5"/>
      <c r="J2919" s="5"/>
      <c r="K2919" s="5"/>
      <c r="L2919" s="5"/>
      <c r="M2919" s="5"/>
      <c r="N2919" s="5"/>
      <c r="O2919" s="5"/>
      <c r="P2919" s="5"/>
      <c r="Q2919" s="5"/>
      <c r="R2919" s="5"/>
      <c r="S2919" s="5"/>
      <c r="T2919" s="5"/>
      <c r="U2919" s="5"/>
      <c r="V2919" s="5"/>
      <c r="W2919" s="5"/>
      <c r="X2919" s="5"/>
      <c r="Y2919" s="5"/>
      <c r="Z2919" s="5"/>
    </row>
    <row r="2920" spans="1:26" ht="15.6" x14ac:dyDescent="0.3">
      <c r="A2920" s="19" t="s">
        <v>23</v>
      </c>
      <c r="B2920" s="26" t="s">
        <v>2912</v>
      </c>
      <c r="C2920" s="2" t="str">
        <f ca="1">IFERROR(__xludf.DUMMYFUNCTION("GOOGLETRANSLATE(B2920, ""bn"", ""en"")"),"In March, Muslims held secret meetings and threatened to kill and rape the surviving Hindus. In September, Golam Sarwar called a public meeting for Muslims at Ramganj.")</f>
        <v>In March, Muslims held secret meetings and threatened to kill and rape the surviving Hindus. In September, Golam Sarwar called a public meeting for Muslims at Ramganj.</v>
      </c>
      <c r="D2920" s="7"/>
      <c r="E2920" s="7"/>
      <c r="F2920" s="7"/>
      <c r="G2920" s="7"/>
      <c r="H2920" s="7"/>
      <c r="I2920" s="7"/>
      <c r="J2920" s="7"/>
      <c r="K2920" s="7"/>
      <c r="L2920" s="5"/>
      <c r="M2920" s="5"/>
      <c r="N2920" s="5"/>
      <c r="O2920" s="5"/>
      <c r="P2920" s="5"/>
      <c r="Q2920" s="5"/>
      <c r="R2920" s="5"/>
      <c r="S2920" s="5"/>
      <c r="T2920" s="5"/>
      <c r="U2920" s="5"/>
      <c r="V2920" s="5"/>
      <c r="W2920" s="5"/>
      <c r="X2920" s="5"/>
      <c r="Y2920" s="5"/>
      <c r="Z2920" s="5"/>
    </row>
    <row r="2921" spans="1:26" ht="15.6" x14ac:dyDescent="0.3">
      <c r="A2921" s="19" t="s">
        <v>23</v>
      </c>
      <c r="B2921" s="26" t="s">
        <v>2913</v>
      </c>
      <c r="C2921" s="2" t="str">
        <f ca="1">IFERROR(__xludf.DUMMYFUNCTION("GOOGLETRANSLATE(B2921, ""bn"", ""en"")"),"The people of the temple are not allowing the mosque to be built in Dinajpur, Bangladesh. A local journalist wrote - The decision of where our mosque will be built comes from the High Commission of the neighboring country")</f>
        <v>The people of the temple are not allowing the mosque to be built in Dinajpur, Bangladesh. A local journalist wrote - The decision of where our mosque will be built comes from the High Commission of the neighboring country</v>
      </c>
      <c r="D2921" s="5"/>
      <c r="E2921" s="5"/>
      <c r="F2921" s="5"/>
      <c r="G2921" s="5"/>
      <c r="H2921" s="5"/>
      <c r="I2921" s="5"/>
      <c r="J2921" s="5"/>
      <c r="K2921" s="5"/>
      <c r="L2921" s="5"/>
      <c r="M2921" s="5"/>
      <c r="N2921" s="5"/>
      <c r="O2921" s="5"/>
      <c r="P2921" s="5"/>
      <c r="Q2921" s="5"/>
      <c r="R2921" s="5"/>
      <c r="S2921" s="5"/>
      <c r="T2921" s="5"/>
      <c r="U2921" s="5"/>
      <c r="V2921" s="5"/>
      <c r="W2921" s="5"/>
      <c r="X2921" s="5"/>
      <c r="Y2921" s="5"/>
      <c r="Z2921" s="5"/>
    </row>
    <row r="2922" spans="1:26" ht="15.6" x14ac:dyDescent="0.3">
      <c r="A2922" s="18" t="s">
        <v>8</v>
      </c>
      <c r="B2922" s="24" t="s">
        <v>2914</v>
      </c>
      <c r="C2922" s="2" t="str">
        <f ca="1">IFERROR(__xludf.DUMMYFUNCTION("GOOGLETRANSLATE(B2922, ""bn"", ""en"")"),"On November 19, 2022 miscreants broke into an under-construction Durga temple in Puthia upazila of Rajshahi and vandalized the clay frame and structure of the idol.")</f>
        <v>On November 19, 2022 miscreants broke into an under-construction Durga temple in Puthia upazila of Rajshahi and vandalized the clay frame and structure of the idol.</v>
      </c>
      <c r="D2922" s="5"/>
      <c r="E2922" s="5"/>
      <c r="F2922" s="5"/>
      <c r="G2922" s="5"/>
      <c r="H2922" s="5"/>
      <c r="I2922" s="5"/>
      <c r="J2922" s="5"/>
      <c r="K2922" s="5"/>
      <c r="L2922" s="5"/>
      <c r="M2922" s="5"/>
      <c r="N2922" s="5"/>
      <c r="O2922" s="5"/>
      <c r="P2922" s="5"/>
      <c r="Q2922" s="5"/>
      <c r="R2922" s="5"/>
      <c r="S2922" s="5"/>
      <c r="T2922" s="5"/>
      <c r="U2922" s="5"/>
      <c r="V2922" s="5"/>
      <c r="W2922" s="5"/>
      <c r="X2922" s="5"/>
      <c r="Y2922" s="5"/>
      <c r="Z2922" s="5"/>
    </row>
    <row r="2923" spans="1:26" ht="15.6" x14ac:dyDescent="0.3">
      <c r="A2923" s="19" t="s">
        <v>23</v>
      </c>
      <c r="B2923" s="26" t="s">
        <v>2915</v>
      </c>
      <c r="C2923" s="2" t="str">
        <f ca="1">IFERROR(__xludf.DUMMYFUNCTION("GOOGLETRANSLATE(B2923, ""bn"", ""en"")"),"I demand execution of devils who burned Quran. O Allah, protect our Quran. amen")</f>
        <v>I demand execution of devils who burned Quran. O Allah, protect our Quran. amen</v>
      </c>
      <c r="D2923" s="7"/>
      <c r="E2923" s="7"/>
      <c r="F2923" s="7"/>
      <c r="G2923" s="5"/>
      <c r="H2923" s="5"/>
      <c r="I2923" s="5"/>
      <c r="J2923" s="5"/>
      <c r="K2923" s="5"/>
      <c r="L2923" s="5"/>
      <c r="M2923" s="5"/>
      <c r="N2923" s="5"/>
      <c r="O2923" s="5"/>
      <c r="P2923" s="5"/>
      <c r="Q2923" s="5"/>
      <c r="R2923" s="5"/>
      <c r="S2923" s="5"/>
      <c r="T2923" s="5"/>
      <c r="U2923" s="5"/>
      <c r="V2923" s="5"/>
      <c r="W2923" s="5"/>
      <c r="X2923" s="5"/>
      <c r="Y2923" s="5"/>
      <c r="Z2923" s="5"/>
    </row>
    <row r="2924" spans="1:26" ht="15.6" x14ac:dyDescent="0.3">
      <c r="A2924" s="18" t="s">
        <v>8</v>
      </c>
      <c r="B2924" s="25" t="s">
        <v>2916</v>
      </c>
      <c r="C2924" s="2" t="str">
        <f ca="1">IFERROR(__xludf.DUMMYFUNCTION("GOOGLETRANSLATE(B2924, ""bn"", ""en"")"),"People of the Hindu community left the village and went into hiding due to the attack of thousands of people. According to the Chairman of Shalla Upazila, hundreds of houses were vandalized. Robbery is more common in the homes of the wealthy.")</f>
        <v>People of the Hindu community left the village and went into hiding due to the attack of thousands of people. According to the Chairman of Shalla Upazila, hundreds of houses were vandalized. Robbery is more common in the homes of the wealthy.</v>
      </c>
      <c r="D2924" s="5"/>
      <c r="E2924" s="5"/>
      <c r="F2924" s="5"/>
      <c r="G2924" s="5"/>
      <c r="H2924" s="5"/>
      <c r="I2924" s="5"/>
      <c r="J2924" s="5"/>
      <c r="K2924" s="5"/>
      <c r="L2924" s="5"/>
      <c r="M2924" s="5"/>
      <c r="N2924" s="5"/>
      <c r="O2924" s="5"/>
      <c r="P2924" s="5"/>
      <c r="Q2924" s="5"/>
      <c r="R2924" s="5"/>
      <c r="S2924" s="5"/>
      <c r="T2924" s="5"/>
      <c r="U2924" s="5"/>
      <c r="V2924" s="5"/>
      <c r="W2924" s="5"/>
      <c r="X2924" s="5"/>
      <c r="Y2924" s="5"/>
      <c r="Z2924" s="5"/>
    </row>
    <row r="2925" spans="1:26" ht="15.6" x14ac:dyDescent="0.3">
      <c r="A2925" s="18" t="s">
        <v>8</v>
      </c>
      <c r="B2925" s="25" t="s">
        <v>2917</v>
      </c>
      <c r="C2925" s="2" t="str">
        <f ca="1">IFERROR(__xludf.DUMMYFUNCTION("GOOGLETRANSLATE(B2925, ""bn"", ""en"")"),"Rasraj Das of Haripur village in Nasirnagar posted a picture of Shiva with the Kaaba house on Facebook after some Islamic extremists beat up Rasraj Das and handed him over to the police on October 29. He was sent to jail under Section 57(2) of the Informa"&amp;"tion and Communication Technology Act against him for insulting Islam.")</f>
        <v>Rasraj Das of Haripur village in Nasirnagar posted a picture of Shiva with the Kaaba house on Facebook after some Islamic extremists beat up Rasraj Das and handed him over to the police on October 29. He was sent to jail under Section 57(2) of the Information and Communication Technology Act against him for insulting Islam.</v>
      </c>
      <c r="D2925" s="5"/>
      <c r="E2925" s="5"/>
      <c r="F2925" s="5"/>
      <c r="G2925" s="5"/>
      <c r="H2925" s="5"/>
      <c r="I2925" s="5"/>
      <c r="J2925" s="5"/>
      <c r="K2925" s="5"/>
      <c r="L2925" s="5"/>
      <c r="M2925" s="5"/>
      <c r="N2925" s="5"/>
      <c r="O2925" s="5"/>
      <c r="P2925" s="5"/>
      <c r="Q2925" s="5"/>
      <c r="R2925" s="5"/>
      <c r="S2925" s="5"/>
      <c r="T2925" s="5"/>
      <c r="U2925" s="5"/>
      <c r="V2925" s="5"/>
      <c r="W2925" s="5"/>
      <c r="X2925" s="5"/>
      <c r="Y2925" s="5"/>
      <c r="Z2925" s="5"/>
    </row>
    <row r="2926" spans="1:26" ht="15.6" x14ac:dyDescent="0.3">
      <c r="A2926" s="18" t="s">
        <v>5</v>
      </c>
      <c r="B2926" s="25" t="s">
        <v>2918</v>
      </c>
      <c r="C2926" s="2" t="str">
        <f ca="1">IFERROR(__xludf.DUMMYFUNCTION("GOOGLETRANSLATE(B2926, ""bn"", ""en"")"),"On January 10 last year, Asifa Banu was abducted, gang-raped and later brutally murdered due to communal concerns. She was detained for days in a temple in Kathua, starved, tortured and strangled after being raped.")</f>
        <v>On January 10 last year, Asifa Banu was abducted, gang-raped and later brutally murdered due to communal concerns. She was detained for days in a temple in Kathua, starved, tortured and strangled after being raped.</v>
      </c>
      <c r="D2926" s="6"/>
      <c r="E2926" s="6"/>
      <c r="F2926" s="6"/>
      <c r="G2926" s="6"/>
      <c r="H2926" s="3"/>
      <c r="I2926" s="3"/>
      <c r="J2926" s="3"/>
      <c r="K2926" s="3"/>
      <c r="L2926" s="3"/>
      <c r="M2926" s="3"/>
      <c r="N2926" s="3"/>
      <c r="O2926" s="3"/>
      <c r="P2926" s="3"/>
      <c r="Q2926" s="3"/>
      <c r="R2926" s="3"/>
      <c r="S2926" s="3"/>
      <c r="T2926" s="3"/>
      <c r="U2926" s="3"/>
      <c r="V2926" s="3"/>
      <c r="W2926" s="3"/>
      <c r="X2926" s="3"/>
      <c r="Y2926" s="3"/>
      <c r="Z2926" s="3"/>
    </row>
    <row r="2927" spans="1:26" ht="15.6" x14ac:dyDescent="0.3">
      <c r="A2927" s="18" t="s">
        <v>23</v>
      </c>
      <c r="B2927" s="25" t="s">
        <v>2919</v>
      </c>
      <c r="C2927" s="2" t="str">
        <f ca="1">IFERROR(__xludf.DUMMYFUNCTION("GOOGLETRANSLATE(B2927, ""bn"", ""en"")"),"After Erdoğan's arrival, Mymensingh became radicalized and Muslim youths flocked to different parts of the country to join IS. But news channels mention Mymensingh as non-communal, which is ridiculous.")</f>
        <v>After Erdoğan's arrival, Mymensingh became radicalized and Muslim youths flocked to different parts of the country to join IS. But news channels mention Mymensingh as non-communal, which is ridiculous.</v>
      </c>
      <c r="D2927" s="6"/>
      <c r="E2927" s="6"/>
      <c r="F2927" s="2"/>
      <c r="G2927" s="2"/>
      <c r="H2927" s="3"/>
      <c r="I2927" s="3"/>
      <c r="J2927" s="3"/>
      <c r="K2927" s="3"/>
      <c r="L2927" s="3"/>
      <c r="M2927" s="3"/>
      <c r="N2927" s="3"/>
      <c r="O2927" s="3"/>
      <c r="P2927" s="3"/>
      <c r="Q2927" s="3"/>
      <c r="R2927" s="3"/>
      <c r="S2927" s="3"/>
      <c r="T2927" s="3"/>
      <c r="U2927" s="3"/>
      <c r="V2927" s="3"/>
      <c r="W2927" s="3"/>
      <c r="X2927" s="3"/>
      <c r="Y2927" s="3"/>
      <c r="Z2927" s="3"/>
    </row>
    <row r="2928" spans="1:26" ht="15.6" x14ac:dyDescent="0.3">
      <c r="A2928" s="18" t="s">
        <v>23</v>
      </c>
      <c r="B2928" s="25" t="s">
        <v>2920</v>
      </c>
      <c r="C2928" s="2" t="str">
        <f ca="1">IFERROR(__xludf.DUMMYFUNCTION("GOOGLETRANSLATE(B2928, ""bn"", ""en"")"),"Following the words of the Hindus of the neighboring countries, the Muslims are now busy destroying Islam, they themselves are killing the Muslims shamelessly.")</f>
        <v>Following the words of the Hindus of the neighboring countries, the Muslims are now busy destroying Islam, they themselves are killing the Muslims shamelessly.</v>
      </c>
      <c r="D2928" s="5"/>
      <c r="E2928" s="5"/>
      <c r="F2928" s="5"/>
      <c r="G2928" s="5"/>
      <c r="H2928" s="5"/>
      <c r="I2928" s="5"/>
      <c r="J2928" s="5"/>
      <c r="K2928" s="5"/>
      <c r="L2928" s="5"/>
      <c r="M2928" s="5"/>
      <c r="N2928" s="5"/>
      <c r="O2928" s="5"/>
      <c r="P2928" s="5"/>
      <c r="Q2928" s="5"/>
      <c r="R2928" s="5"/>
      <c r="S2928" s="5"/>
      <c r="T2928" s="5"/>
      <c r="U2928" s="5"/>
      <c r="V2928" s="5"/>
      <c r="W2928" s="5"/>
      <c r="X2928" s="5"/>
      <c r="Y2928" s="5"/>
      <c r="Z2928" s="5"/>
    </row>
    <row r="2929" spans="1:26" ht="15.6" x14ac:dyDescent="0.3">
      <c r="A2929" s="19" t="s">
        <v>5</v>
      </c>
      <c r="B2929" s="26" t="s">
        <v>2921</v>
      </c>
      <c r="C2929" s="2" t="str">
        <f ca="1">IFERROR(__xludf.DUMMYFUNCTION("GOOGLETRANSLATE(B2929, ""bn"", ""en"")"),"Many worshipers were injured in an army drone strike at a ceremony in Tudun Biri village on the occasion of Eid-Miladunnabi.")</f>
        <v>Many worshipers were injured in an army drone strike at a ceremony in Tudun Biri village on the occasion of Eid-Miladunnabi.</v>
      </c>
      <c r="D2929" s="7"/>
      <c r="E2929" s="7"/>
      <c r="F2929" s="7"/>
      <c r="G2929" s="7"/>
      <c r="H2929" s="5"/>
      <c r="I2929" s="5"/>
      <c r="J2929" s="5"/>
      <c r="K2929" s="5"/>
      <c r="L2929" s="5"/>
      <c r="M2929" s="5"/>
      <c r="N2929" s="5"/>
      <c r="O2929" s="5"/>
      <c r="P2929" s="5"/>
      <c r="Q2929" s="5"/>
      <c r="R2929" s="5"/>
      <c r="S2929" s="5"/>
      <c r="T2929" s="5"/>
      <c r="U2929" s="5"/>
      <c r="V2929" s="5"/>
      <c r="W2929" s="5"/>
      <c r="X2929" s="5"/>
      <c r="Y2929" s="5"/>
      <c r="Z2929" s="5"/>
    </row>
    <row r="2930" spans="1:26" ht="15.6" x14ac:dyDescent="0.3">
      <c r="A2930" s="18" t="s">
        <v>3</v>
      </c>
      <c r="B2930" s="24" t="s">
        <v>2922</v>
      </c>
      <c r="C2930" s="2" t="str">
        <f ca="1">IFERROR(__xludf.DUMMYFUNCTION("GOOGLETRANSLATE(B2930, ""bn"", ""en"")"),"In Jainism, 'Ahimsa' is not only physical but also thought about not hurting anyone.")</f>
        <v>In Jainism, 'Ahimsa' is not only physical but also thought about not hurting anyone.</v>
      </c>
      <c r="D2930" s="5"/>
      <c r="E2930" s="5"/>
      <c r="F2930" s="5"/>
      <c r="G2930" s="5"/>
      <c r="H2930" s="5"/>
      <c r="I2930" s="5"/>
      <c r="J2930" s="5"/>
      <c r="K2930" s="5"/>
      <c r="L2930" s="5"/>
      <c r="M2930" s="5"/>
      <c r="N2930" s="5"/>
      <c r="O2930" s="5"/>
      <c r="P2930" s="5"/>
      <c r="Q2930" s="5"/>
      <c r="R2930" s="5"/>
      <c r="S2930" s="5"/>
      <c r="T2930" s="5"/>
      <c r="U2930" s="5"/>
      <c r="V2930" s="5"/>
      <c r="W2930" s="5"/>
      <c r="X2930" s="5"/>
      <c r="Y2930" s="5"/>
      <c r="Z2930" s="5"/>
    </row>
    <row r="2931" spans="1:26" ht="15.6" x14ac:dyDescent="0.3">
      <c r="A2931" s="18" t="s">
        <v>5</v>
      </c>
      <c r="B2931" s="24" t="s">
        <v>2923</v>
      </c>
      <c r="C2931" s="2" t="str">
        <f ca="1">IFERROR(__xludf.DUMMYFUNCTION("GOOGLETRANSLATE(B2931, ""bn"", ""en"")"),"In December 2017, a group of religious zealots and members of a political party set fire to the homes of minorities, killing at least 41 people.")</f>
        <v>In December 2017, a group of religious zealots and members of a political party set fire to the homes of minorities, killing at least 41 people.</v>
      </c>
      <c r="D2931" s="5"/>
      <c r="E2931" s="5"/>
      <c r="F2931" s="5"/>
      <c r="G2931" s="5"/>
      <c r="H2931" s="5"/>
      <c r="I2931" s="5"/>
      <c r="J2931" s="5"/>
      <c r="K2931" s="5"/>
      <c r="L2931" s="5"/>
      <c r="M2931" s="5"/>
      <c r="N2931" s="5"/>
      <c r="O2931" s="5"/>
      <c r="P2931" s="5"/>
      <c r="Q2931" s="5"/>
      <c r="R2931" s="5"/>
      <c r="S2931" s="5"/>
      <c r="T2931" s="5"/>
      <c r="U2931" s="5"/>
      <c r="V2931" s="5"/>
      <c r="W2931" s="5"/>
      <c r="X2931" s="5"/>
      <c r="Y2931" s="5"/>
      <c r="Z2931" s="5"/>
    </row>
    <row r="2932" spans="1:26" ht="15.6" x14ac:dyDescent="0.3">
      <c r="A2932" s="18" t="s">
        <v>5</v>
      </c>
      <c r="B2932" s="25" t="s">
        <v>2924</v>
      </c>
      <c r="C2932" s="2" t="str">
        <f ca="1">IFERROR(__xludf.DUMMYFUNCTION("GOOGLETRANSLATE(B2932, ""bn"", ""en"")"),"A converted Christian doctor was slaughtered by Islamic militants in Jamalpur")</f>
        <v>A converted Christian doctor was slaughtered by Islamic militants in Jamalpur</v>
      </c>
      <c r="D2932" s="5"/>
      <c r="E2932" s="5"/>
      <c r="F2932" s="5"/>
      <c r="G2932" s="5"/>
      <c r="H2932" s="5"/>
      <c r="I2932" s="5"/>
      <c r="J2932" s="5"/>
      <c r="K2932" s="5"/>
      <c r="L2932" s="5"/>
      <c r="M2932" s="5"/>
      <c r="N2932" s="5"/>
      <c r="O2932" s="5"/>
      <c r="P2932" s="5"/>
      <c r="Q2932" s="5"/>
      <c r="R2932" s="5"/>
      <c r="S2932" s="5"/>
      <c r="T2932" s="5"/>
      <c r="U2932" s="5"/>
      <c r="V2932" s="5"/>
      <c r="W2932" s="5"/>
      <c r="X2932" s="5"/>
      <c r="Y2932" s="5"/>
      <c r="Z2932" s="5"/>
    </row>
    <row r="2933" spans="1:26" ht="15.6" x14ac:dyDescent="0.3">
      <c r="A2933" s="19" t="s">
        <v>23</v>
      </c>
      <c r="B2933" s="26" t="s">
        <v>2925</v>
      </c>
      <c r="C2933" s="2" t="str">
        <f ca="1">IFERROR(__xludf.DUMMYFUNCTION("GOOGLETRANSLATE(B2933, ""bn"", ""en"")"),"ABP Anand and Jee in the 24 hour comment section some men are making derogatory comments about Afghan girls, made by Muslim boys.")</f>
        <v>ABP Anand and Jee in the 24 hour comment section some men are making derogatory comments about Afghan girls, made by Muslim boys.</v>
      </c>
      <c r="D2933" s="7"/>
      <c r="E2933" s="7"/>
      <c r="F2933" s="7"/>
      <c r="G2933" s="7"/>
      <c r="H2933" s="7"/>
      <c r="I2933" s="7"/>
      <c r="J2933" s="7"/>
      <c r="K2933" s="7"/>
      <c r="L2933" s="5"/>
      <c r="M2933" s="5"/>
      <c r="N2933" s="5"/>
      <c r="O2933" s="5"/>
      <c r="P2933" s="5"/>
      <c r="Q2933" s="5"/>
      <c r="R2933" s="5"/>
      <c r="S2933" s="5"/>
      <c r="T2933" s="5"/>
      <c r="U2933" s="5"/>
      <c r="V2933" s="5"/>
      <c r="W2933" s="5"/>
      <c r="X2933" s="5"/>
      <c r="Y2933" s="5"/>
      <c r="Z2933" s="5"/>
    </row>
    <row r="2934" spans="1:26" ht="15.6" x14ac:dyDescent="0.3">
      <c r="A2934" s="19" t="s">
        <v>8</v>
      </c>
      <c r="B2934" s="26" t="s">
        <v>2926</v>
      </c>
      <c r="C2934" s="2" t="str">
        <f ca="1">IFERROR(__xludf.DUMMYFUNCTION("GOOGLETRANSLATE(B2934, ""bn"", ""en"")"),"A Christian family's house in Chapainawabganj was put up with posters saying 'Embrace Islam' and later vandalized.")</f>
        <v>A Christian family's house in Chapainawabganj was put up with posters saying 'Embrace Islam' and later vandalized.</v>
      </c>
      <c r="D2934" s="5"/>
      <c r="E2934" s="5"/>
      <c r="F2934" s="5"/>
      <c r="G2934" s="5"/>
      <c r="H2934" s="5"/>
      <c r="I2934" s="5"/>
      <c r="J2934" s="5"/>
      <c r="K2934" s="5"/>
      <c r="L2934" s="5"/>
      <c r="M2934" s="5"/>
      <c r="N2934" s="5"/>
      <c r="O2934" s="5"/>
      <c r="P2934" s="5"/>
      <c r="Q2934" s="5"/>
      <c r="R2934" s="5"/>
      <c r="S2934" s="5"/>
      <c r="T2934" s="5"/>
      <c r="U2934" s="5"/>
      <c r="V2934" s="5"/>
      <c r="W2934" s="5"/>
      <c r="X2934" s="5"/>
      <c r="Y2934" s="5"/>
      <c r="Z2934" s="5"/>
    </row>
    <row r="2935" spans="1:26" ht="15.6" x14ac:dyDescent="0.3">
      <c r="A2935" s="18" t="s">
        <v>8</v>
      </c>
      <c r="B2935" s="25" t="s">
        <v>2927</v>
      </c>
      <c r="C2935" s="2" t="str">
        <f ca="1">IFERROR(__xludf.DUMMYFUNCTION("GOOGLETRANSLATE(B2935, ""bn"", ""en"")"),"The organization strongly condemned and protested the attack, vandalism and looting of Hindu homes and held a human chain program in front of the National Press Club on Saturday. A proper investigation of the attack was also demanded to bring the people i"&amp;"nvolved under the law.")</f>
        <v>The organization strongly condemned and protested the attack, vandalism and looting of Hindu homes and held a human chain program in front of the National Press Club on Saturday. A proper investigation of the attack was also demanded to bring the people involved under the law.</v>
      </c>
      <c r="D2935" s="6"/>
      <c r="E2935" s="6"/>
      <c r="F2935" s="6"/>
      <c r="G2935" s="6"/>
      <c r="H2935" s="3"/>
      <c r="I2935" s="3"/>
      <c r="J2935" s="3"/>
      <c r="K2935" s="3"/>
      <c r="L2935" s="3"/>
      <c r="M2935" s="3"/>
      <c r="N2935" s="3"/>
      <c r="O2935" s="3"/>
      <c r="P2935" s="3"/>
      <c r="Q2935" s="3"/>
      <c r="R2935" s="3"/>
      <c r="S2935" s="3"/>
      <c r="T2935" s="3"/>
      <c r="U2935" s="3"/>
      <c r="V2935" s="3"/>
      <c r="W2935" s="3"/>
      <c r="X2935" s="3"/>
      <c r="Y2935" s="3"/>
      <c r="Z2935" s="3"/>
    </row>
    <row r="2936" spans="1:26" ht="15.6" x14ac:dyDescent="0.3">
      <c r="A2936" s="18" t="s">
        <v>3</v>
      </c>
      <c r="B2936" s="25" t="s">
        <v>2928</v>
      </c>
      <c r="C2936" s="2" t="str">
        <f ca="1">IFERROR(__xludf.DUMMYFUNCTION("GOOGLETRANSLATE(B2936, ""bn"", ""en"")"),"Surely Allah does not deceive anyone, Allah trusts, my Lord will surely give me. Whatever he says, I believe, my Lord will fulfill the hope of my heart at the best time.")</f>
        <v>Surely Allah does not deceive anyone, Allah trusts, my Lord will surely give me. Whatever he says, I believe, my Lord will fulfill the hope of my heart at the best time.</v>
      </c>
      <c r="D2936" s="2"/>
      <c r="E2936" s="2"/>
      <c r="F2936" s="2"/>
      <c r="G2936" s="2"/>
      <c r="H2936" s="3"/>
      <c r="I2936" s="3"/>
      <c r="J2936" s="3"/>
      <c r="K2936" s="3"/>
      <c r="L2936" s="3"/>
      <c r="M2936" s="3"/>
      <c r="N2936" s="3"/>
      <c r="O2936" s="3"/>
      <c r="P2936" s="3"/>
      <c r="Q2936" s="3"/>
      <c r="R2936" s="3"/>
      <c r="S2936" s="3"/>
      <c r="T2936" s="3"/>
      <c r="U2936" s="3"/>
      <c r="V2936" s="3"/>
      <c r="W2936" s="3"/>
      <c r="X2936" s="3"/>
      <c r="Y2936" s="3"/>
      <c r="Z2936" s="3"/>
    </row>
    <row r="2937" spans="1:26" ht="15.6" x14ac:dyDescent="0.3">
      <c r="A2937" s="19" t="s">
        <v>23</v>
      </c>
      <c r="B2937" s="26" t="s">
        <v>2929</v>
      </c>
      <c r="C2937" s="2" t="str">
        <f ca="1">IFERROR(__xludf.DUMMYFUNCTION("GOOGLETRANSLATE(B2937, ""bn"", ""en"")"),"Recently, a Christian living in Bangladesh committed an act of desecration of the Quran. Many people think that the purpose of this incident is to incite religious riots.")</f>
        <v>Recently, a Christian living in Bangladesh committed an act of desecration of the Quran. Many people think that the purpose of this incident is to incite religious riots.</v>
      </c>
      <c r="D2937" s="7"/>
      <c r="E2937" s="7"/>
      <c r="F2937" s="7"/>
      <c r="G2937" s="7"/>
      <c r="H2937" s="7"/>
      <c r="I2937" s="7"/>
      <c r="J2937" s="7"/>
      <c r="K2937" s="7"/>
      <c r="L2937" s="7"/>
      <c r="M2937" s="5"/>
      <c r="N2937" s="5"/>
      <c r="O2937" s="5"/>
      <c r="P2937" s="5"/>
      <c r="Q2937" s="5"/>
      <c r="R2937" s="5"/>
      <c r="S2937" s="5"/>
      <c r="T2937" s="5"/>
      <c r="U2937" s="5"/>
      <c r="V2937" s="5"/>
      <c r="W2937" s="5"/>
      <c r="X2937" s="5"/>
      <c r="Y2937" s="5"/>
      <c r="Z2937" s="5"/>
    </row>
    <row r="2938" spans="1:26" ht="15.6" x14ac:dyDescent="0.3">
      <c r="A2938" s="18" t="s">
        <v>3</v>
      </c>
      <c r="B2938" s="25" t="s">
        <v>2930</v>
      </c>
      <c r="C2938" s="2" t="str">
        <f ca="1">IFERROR(__xludf.DUMMYFUNCTION("GOOGLETRANSLATE(B2938, ""bn"", ""en"")"),"Followers of Jainism believe in soul-searching through various spiritual practices and sacrifices, to purify one's body and mind.")</f>
        <v>Followers of Jainism believe in soul-searching through various spiritual practices and sacrifices, to purify one's body and mind.</v>
      </c>
      <c r="D2938" s="5"/>
      <c r="E2938" s="5"/>
      <c r="F2938" s="5"/>
      <c r="G2938" s="5"/>
      <c r="H2938" s="5"/>
      <c r="I2938" s="5"/>
      <c r="J2938" s="5"/>
      <c r="K2938" s="5"/>
      <c r="L2938" s="5"/>
      <c r="M2938" s="5"/>
      <c r="N2938" s="5"/>
      <c r="O2938" s="5"/>
      <c r="P2938" s="5"/>
      <c r="Q2938" s="5"/>
      <c r="R2938" s="5"/>
      <c r="S2938" s="5"/>
      <c r="T2938" s="5"/>
      <c r="U2938" s="5"/>
      <c r="V2938" s="5"/>
      <c r="W2938" s="5"/>
      <c r="X2938" s="5"/>
      <c r="Y2938" s="5"/>
      <c r="Z2938" s="5"/>
    </row>
    <row r="2939" spans="1:26" ht="15.6" x14ac:dyDescent="0.3">
      <c r="A2939" s="18" t="s">
        <v>5</v>
      </c>
      <c r="B2939" s="25" t="s">
        <v>2931</v>
      </c>
      <c r="C2939" s="2" t="str">
        <f ca="1">IFERROR(__xludf.DUMMYFUNCTION("GOOGLETRANSLATE(B2939, ""bn"", ""en"")"),"Muslims brutally raped many Hindu women and abducted helpless Hindu girls. [23] The area was renamed Jaffrabad after ethnic cleansing of the Bengali Hindu community in the entire township.")</f>
        <v>Muslims brutally raped many Hindu women and abducted helpless Hindu girls. [23] The area was renamed Jaffrabad after ethnic cleansing of the Bengali Hindu community in the entire township.</v>
      </c>
      <c r="D2939" s="5"/>
      <c r="E2939" s="5"/>
      <c r="F2939" s="5"/>
      <c r="G2939" s="5"/>
      <c r="H2939" s="5"/>
      <c r="I2939" s="5"/>
      <c r="J2939" s="5"/>
      <c r="K2939" s="5"/>
      <c r="L2939" s="5"/>
      <c r="M2939" s="5"/>
      <c r="N2939" s="5"/>
      <c r="O2939" s="5"/>
      <c r="P2939" s="5"/>
      <c r="Q2939" s="5"/>
      <c r="R2939" s="5"/>
      <c r="S2939" s="5"/>
      <c r="T2939" s="5"/>
      <c r="U2939" s="5"/>
      <c r="V2939" s="5"/>
      <c r="W2939" s="5"/>
      <c r="X2939" s="5"/>
      <c r="Y2939" s="5"/>
      <c r="Z2939" s="5"/>
    </row>
    <row r="2940" spans="1:26" ht="15.6" x14ac:dyDescent="0.3">
      <c r="A2940" s="19" t="s">
        <v>3</v>
      </c>
      <c r="B2940" s="26" t="s">
        <v>2932</v>
      </c>
      <c r="C2940" s="2" t="str">
        <f ca="1">IFERROR(__xludf.DUMMYFUNCTION("GOOGLETRANSLATE(B2940, ""bn"", ""en"")"),"It is ideal to pray in congregation, not in secret. It is right to spread Islam by loving Allah.")</f>
        <v>It is ideal to pray in congregation, not in secret. It is right to spread Islam by loving Allah.</v>
      </c>
      <c r="D2940" s="7"/>
      <c r="E2940" s="7"/>
      <c r="F2940" s="7"/>
      <c r="G2940" s="5"/>
      <c r="H2940" s="5"/>
      <c r="I2940" s="5"/>
      <c r="J2940" s="5"/>
      <c r="K2940" s="5"/>
      <c r="L2940" s="5"/>
      <c r="M2940" s="5"/>
      <c r="N2940" s="5"/>
      <c r="O2940" s="5"/>
      <c r="P2940" s="5"/>
      <c r="Q2940" s="5"/>
      <c r="R2940" s="5"/>
      <c r="S2940" s="5"/>
      <c r="T2940" s="5"/>
      <c r="U2940" s="5"/>
      <c r="V2940" s="5"/>
      <c r="W2940" s="5"/>
      <c r="X2940" s="5"/>
      <c r="Y2940" s="5"/>
      <c r="Z2940" s="5"/>
    </row>
    <row r="2941" spans="1:26" ht="15.6" x14ac:dyDescent="0.3">
      <c r="A2941" s="19" t="s">
        <v>5</v>
      </c>
      <c r="B2941" s="26" t="s">
        <v>2933</v>
      </c>
      <c r="C2941" s="2" t="str">
        <f ca="1">IFERROR(__xludf.DUMMYFUNCTION("GOOGLETRANSLATE(B2941, ""bn"", ""en"")"),"Since 2003, religious and ethnic conflicts have killed and displaced millions of people.")</f>
        <v>Since 2003, religious and ethnic conflicts have killed and displaced millions of people.</v>
      </c>
      <c r="D2941" s="7"/>
      <c r="E2941" s="7"/>
      <c r="F2941" s="5"/>
      <c r="G2941" s="5"/>
      <c r="H2941" s="5"/>
      <c r="I2941" s="5"/>
      <c r="J2941" s="5"/>
      <c r="K2941" s="5"/>
      <c r="L2941" s="5"/>
      <c r="M2941" s="5"/>
      <c r="N2941" s="5"/>
      <c r="O2941" s="5"/>
      <c r="P2941" s="5"/>
      <c r="Q2941" s="5"/>
      <c r="R2941" s="5"/>
      <c r="S2941" s="5"/>
      <c r="T2941" s="5"/>
      <c r="U2941" s="5"/>
      <c r="V2941" s="5"/>
      <c r="W2941" s="5"/>
      <c r="X2941" s="5"/>
      <c r="Y2941" s="5"/>
      <c r="Z2941" s="5"/>
    </row>
    <row r="2942" spans="1:26" ht="15.6" x14ac:dyDescent="0.3">
      <c r="A2942" s="18" t="s">
        <v>23</v>
      </c>
      <c r="B2942" s="25" t="s">
        <v>2934</v>
      </c>
      <c r="C2942" s="2" t="str">
        <f ca="1">IFERROR(__xludf.DUMMYFUNCTION("GOOGLETRANSLATE(B2942, ""bn"", ""en"")"),"Mr. Two days ago, Erdogan described Islam and Muslims as haters, commenting that “Mr Macron needs psychiatric treatment now.")</f>
        <v>Mr. Two days ago, Erdogan described Islam and Muslims as haters, commenting that “Mr Macron needs psychiatric treatment now.</v>
      </c>
      <c r="D2942" s="2"/>
      <c r="E2942" s="2"/>
      <c r="F2942" s="2"/>
      <c r="G2942" s="2"/>
      <c r="H2942" s="5"/>
      <c r="I2942" s="5"/>
      <c r="J2942" s="5"/>
      <c r="K2942" s="5"/>
      <c r="L2942" s="5"/>
      <c r="M2942" s="5"/>
      <c r="N2942" s="5"/>
      <c r="O2942" s="5"/>
      <c r="P2942" s="5"/>
      <c r="Q2942" s="5"/>
      <c r="R2942" s="5"/>
      <c r="S2942" s="5"/>
      <c r="T2942" s="5"/>
      <c r="U2942" s="5"/>
      <c r="V2942" s="5"/>
      <c r="W2942" s="5"/>
      <c r="X2942" s="5"/>
      <c r="Y2942" s="5"/>
      <c r="Z2942" s="5"/>
    </row>
    <row r="2943" spans="1:26" ht="15.6" x14ac:dyDescent="0.3">
      <c r="A2943" s="19" t="s">
        <v>8</v>
      </c>
      <c r="B2943" s="26" t="s">
        <v>2935</v>
      </c>
      <c r="C2943" s="2" t="str">
        <f ca="1">IFERROR(__xludf.DUMMYFUNCTION("GOOGLETRANSLATE(B2943, ""bn"", ""en"")"),"Images of Kali and Mahadev were destroyed in the attack.[31][32] A Radha Krishna temple was set on fire at Batajor village under Bamana upazila of Barguna district around 7:30 pm. On March 12, two Hindu houses were set on fire at New Bhatikhana Road in Ba"&amp;"risal around 2:30 am by unknown miscreants.")</f>
        <v>Images of Kali and Mahadev were destroyed in the attack.[31][32] A Radha Krishna temple was set on fire at Batajor village under Bamana upazila of Barguna district around 7:30 pm. On March 12, two Hindu houses were set on fire at New Bhatikhana Road in Barisal around 2:30 am by unknown miscreants.</v>
      </c>
      <c r="D2943" s="7"/>
      <c r="E2943" s="7"/>
      <c r="F2943" s="7"/>
      <c r="G2943" s="7"/>
      <c r="H2943" s="7"/>
      <c r="I2943" s="7"/>
      <c r="J2943" s="7"/>
      <c r="K2943" s="5"/>
      <c r="L2943" s="5"/>
      <c r="M2943" s="5"/>
      <c r="N2943" s="5"/>
      <c r="O2943" s="5"/>
      <c r="P2943" s="5"/>
      <c r="Q2943" s="5"/>
      <c r="R2943" s="5"/>
      <c r="S2943" s="5"/>
      <c r="T2943" s="5"/>
      <c r="U2943" s="5"/>
      <c r="V2943" s="5"/>
      <c r="W2943" s="5"/>
      <c r="X2943" s="5"/>
      <c r="Y2943" s="5"/>
      <c r="Z2943" s="5"/>
    </row>
    <row r="2944" spans="1:26" ht="15.6" x14ac:dyDescent="0.3">
      <c r="A2944" s="18" t="s">
        <v>5</v>
      </c>
      <c r="B2944" s="25" t="s">
        <v>2936</v>
      </c>
      <c r="C2944" s="2" t="str">
        <f ca="1">IFERROR(__xludf.DUMMYFUNCTION("GOOGLETRANSLATE(B2944, ""bn"", ""en"")"),"Between 1954 and 1982, Hindu-Muslim communal violence killed nearly 10,000 Muslims in a series of communal violence that began in 1950.[")</f>
        <v>Between 1954 and 1982, Hindu-Muslim communal violence killed nearly 10,000 Muslims in a series of communal violence that began in 1950.[</v>
      </c>
      <c r="D2944" s="2"/>
      <c r="E2944" s="2"/>
      <c r="F2944" s="2"/>
      <c r="G2944" s="2"/>
      <c r="H2944" s="3"/>
      <c r="I2944" s="3"/>
      <c r="J2944" s="3"/>
      <c r="K2944" s="3"/>
      <c r="L2944" s="3"/>
      <c r="M2944" s="3"/>
      <c r="N2944" s="3"/>
      <c r="O2944" s="3"/>
      <c r="P2944" s="3"/>
      <c r="Q2944" s="3"/>
      <c r="R2944" s="3"/>
      <c r="S2944" s="3"/>
      <c r="T2944" s="3"/>
      <c r="U2944" s="3"/>
      <c r="V2944" s="3"/>
      <c r="W2944" s="3"/>
      <c r="X2944" s="3"/>
      <c r="Y2944" s="3"/>
      <c r="Z2944" s="3"/>
    </row>
    <row r="2945" spans="1:26" ht="15.6" x14ac:dyDescent="0.3">
      <c r="A2945" s="18" t="s">
        <v>8</v>
      </c>
      <c r="B2945" s="24" t="s">
        <v>2937</v>
      </c>
      <c r="C2945" s="2" t="str">
        <f ca="1">IFERROR(__xludf.DUMMYFUNCTION("GOOGLETRANSLATE(B2945, ""bn"", ""en"")"),"On 26 April 2023, an ancient Radha Gobind temple at Kendua in Netrakona was attacked in the middle of the night, with idols vandalized and the temple's donation box looted.")</f>
        <v>On 26 April 2023, an ancient Radha Gobind temple at Kendua in Netrakona was attacked in the middle of the night, with idols vandalized and the temple's donation box looted.</v>
      </c>
      <c r="D2945" s="5"/>
      <c r="E2945" s="5"/>
      <c r="F2945" s="5"/>
      <c r="G2945" s="5"/>
      <c r="H2945" s="5"/>
      <c r="I2945" s="5"/>
      <c r="J2945" s="5"/>
      <c r="K2945" s="5"/>
      <c r="L2945" s="5"/>
      <c r="M2945" s="5"/>
      <c r="N2945" s="5"/>
      <c r="O2945" s="5"/>
      <c r="P2945" s="5"/>
      <c r="Q2945" s="5"/>
      <c r="R2945" s="5"/>
      <c r="S2945" s="5"/>
      <c r="T2945" s="5"/>
      <c r="U2945" s="5"/>
      <c r="V2945" s="5"/>
      <c r="W2945" s="5"/>
      <c r="X2945" s="5"/>
      <c r="Y2945" s="5"/>
      <c r="Z2945" s="5"/>
    </row>
    <row r="2946" spans="1:26" ht="15.6" x14ac:dyDescent="0.3">
      <c r="A2946" s="18" t="s">
        <v>8</v>
      </c>
      <c r="B2946" s="25" t="s">
        <v>2938</v>
      </c>
      <c r="C2946" s="2" t="str">
        <f ca="1">IFERROR(__xludf.DUMMYFUNCTION("GOOGLETRANSLATE(B2946, ""bn"", ""en"")"),"In the evening, the Minister of State for Religion Faridul Haque Khan visited the places of worship of the Hindu community affected by the communal attack in Chaumuhani.")</f>
        <v>In the evening, the Minister of State for Religion Faridul Haque Khan visited the places of worship of the Hindu community affected by the communal attack in Chaumuhani.</v>
      </c>
      <c r="D2946" s="2"/>
      <c r="E2946" s="2"/>
      <c r="F2946" s="2"/>
      <c r="G2946" s="2"/>
      <c r="H2946" s="3"/>
      <c r="I2946" s="3"/>
      <c r="J2946" s="3"/>
      <c r="K2946" s="3"/>
      <c r="L2946" s="3"/>
      <c r="M2946" s="3"/>
      <c r="N2946" s="3"/>
      <c r="O2946" s="3"/>
      <c r="P2946" s="3"/>
      <c r="Q2946" s="3"/>
      <c r="R2946" s="3"/>
      <c r="S2946" s="3"/>
      <c r="T2946" s="3"/>
      <c r="U2946" s="3"/>
      <c r="V2946" s="3"/>
      <c r="W2946" s="3"/>
      <c r="X2946" s="3"/>
      <c r="Y2946" s="3"/>
      <c r="Z2946" s="3"/>
    </row>
    <row r="2947" spans="1:26" ht="15.6" x14ac:dyDescent="0.3">
      <c r="A2947" s="18" t="s">
        <v>3</v>
      </c>
      <c r="B2947" s="25" t="s">
        <v>2939</v>
      </c>
      <c r="C2947" s="2" t="str">
        <f ca="1">IFERROR(__xludf.DUMMYFUNCTION("GOOGLETRANSLATE(B2947, ""bn"", ""en"")"),"What the nature of God and religion will be, what regions of the world a religion might originate in, or where a religion will flourish may depend to some extent on geography and climate.")</f>
        <v>What the nature of God and religion will be, what regions of the world a religion might originate in, or where a religion will flourish may depend to some extent on geography and climate.</v>
      </c>
      <c r="D2947" s="2"/>
      <c r="E2947" s="2"/>
      <c r="F2947" s="2"/>
      <c r="G2947" s="2"/>
      <c r="H2947" s="5"/>
      <c r="I2947" s="5"/>
      <c r="J2947" s="5"/>
      <c r="K2947" s="5"/>
      <c r="L2947" s="5"/>
      <c r="M2947" s="5"/>
      <c r="N2947" s="5"/>
      <c r="O2947" s="5"/>
      <c r="P2947" s="5"/>
      <c r="Q2947" s="5"/>
      <c r="R2947" s="5"/>
      <c r="S2947" s="5"/>
      <c r="T2947" s="5"/>
      <c r="U2947" s="5"/>
      <c r="V2947" s="5"/>
      <c r="W2947" s="5"/>
      <c r="X2947" s="5"/>
      <c r="Y2947" s="5"/>
      <c r="Z2947" s="5"/>
    </row>
    <row r="2948" spans="1:26" ht="15.6" x14ac:dyDescent="0.3">
      <c r="A2948" s="18" t="s">
        <v>23</v>
      </c>
      <c r="B2948" s="24" t="s">
        <v>2940</v>
      </c>
      <c r="C2948" s="2" t="str">
        <f ca="1">IFERROR(__xludf.DUMMYFUNCTION("GOOGLETRANSLATE(B2948, ""bn"", ""en"")"),"Some followers of Buddhism make hate speech about other religions which breaks social unity.")</f>
        <v>Some followers of Buddhism make hate speech about other religions which breaks social unity.</v>
      </c>
      <c r="D2948" s="5"/>
      <c r="E2948" s="5"/>
      <c r="F2948" s="5"/>
      <c r="G2948" s="5"/>
      <c r="H2948" s="5"/>
      <c r="I2948" s="5"/>
      <c r="J2948" s="5"/>
      <c r="K2948" s="5"/>
      <c r="L2948" s="5"/>
      <c r="M2948" s="5"/>
      <c r="N2948" s="5"/>
      <c r="O2948" s="5"/>
      <c r="P2948" s="5"/>
      <c r="Q2948" s="5"/>
      <c r="R2948" s="5"/>
      <c r="S2948" s="5"/>
      <c r="T2948" s="5"/>
      <c r="U2948" s="5"/>
      <c r="V2948" s="5"/>
      <c r="W2948" s="5"/>
      <c r="X2948" s="5"/>
      <c r="Y2948" s="5"/>
      <c r="Z2948" s="5"/>
    </row>
    <row r="2949" spans="1:26" ht="15.6" x14ac:dyDescent="0.3">
      <c r="A2949" s="18" t="s">
        <v>3</v>
      </c>
      <c r="B2949" s="25" t="s">
        <v>2941</v>
      </c>
      <c r="C2949" s="2" t="str">
        <f ca="1">IFERROR(__xludf.DUMMYFUNCTION("GOOGLETRANSLATE(B2949, ""bn"", ""en"")"),"Doctors have turned to God. May God keep the brother healthy.")</f>
        <v>Doctors have turned to God. May God keep the brother healthy.</v>
      </c>
      <c r="D2949" s="2"/>
      <c r="E2949" s="2"/>
      <c r="F2949" s="2"/>
      <c r="G2949" s="2"/>
      <c r="H2949" s="3"/>
      <c r="I2949" s="3"/>
      <c r="J2949" s="3"/>
      <c r="K2949" s="3"/>
      <c r="L2949" s="3"/>
      <c r="M2949" s="3"/>
      <c r="N2949" s="3"/>
      <c r="O2949" s="3"/>
      <c r="P2949" s="3"/>
      <c r="Q2949" s="3"/>
      <c r="R2949" s="3"/>
      <c r="S2949" s="3"/>
      <c r="T2949" s="3"/>
      <c r="U2949" s="3"/>
      <c r="V2949" s="3"/>
      <c r="W2949" s="3"/>
      <c r="X2949" s="3"/>
      <c r="Y2949" s="3"/>
      <c r="Z2949" s="3"/>
    </row>
    <row r="2950" spans="1:26" ht="15.6" x14ac:dyDescent="0.3">
      <c r="A2950" s="18" t="s">
        <v>3</v>
      </c>
      <c r="B2950" s="25" t="s">
        <v>2942</v>
      </c>
      <c r="C2950" s="2" t="str">
        <f ca="1">IFERROR(__xludf.DUMMYFUNCTION("GOOGLETRANSLATE(B2950, ""bn"", ""en"")"),"May Allah guide everyone. And give us the opportunity to understand Islam correctly. Islam is a religion of peace, so let peace be maintained among all.")</f>
        <v>May Allah guide everyone. And give us the opportunity to understand Islam correctly. Islam is a religion of peace, so let peace be maintained among all.</v>
      </c>
      <c r="D2950" s="2"/>
      <c r="E2950" s="2"/>
      <c r="F2950" s="2"/>
      <c r="G2950" s="2"/>
      <c r="H2950" s="5"/>
      <c r="I2950" s="5"/>
      <c r="J2950" s="5"/>
      <c r="K2950" s="5"/>
      <c r="L2950" s="5"/>
      <c r="M2950" s="5"/>
      <c r="N2950" s="5"/>
      <c r="O2950" s="5"/>
      <c r="P2950" s="5"/>
      <c r="Q2950" s="5"/>
      <c r="R2950" s="5"/>
      <c r="S2950" s="5"/>
      <c r="T2950" s="5"/>
      <c r="U2950" s="5"/>
      <c r="V2950" s="5"/>
      <c r="W2950" s="5"/>
      <c r="X2950" s="5"/>
      <c r="Y2950" s="5"/>
      <c r="Z2950" s="5"/>
    </row>
    <row r="2951" spans="1:26" ht="15.6" x14ac:dyDescent="0.3">
      <c r="A2951" s="18" t="s">
        <v>5</v>
      </c>
      <c r="B2951" s="25" t="s">
        <v>2943</v>
      </c>
      <c r="C2951" s="2" t="str">
        <f ca="1">IFERROR(__xludf.DUMMYFUNCTION("GOOGLETRANSLATE(B2951, ""bn"", ""en"")"),"After the assassination of a political leader, violence broke out against the Hindu community, in which many Hindu citizens were killed and their property destroyed.")</f>
        <v>After the assassination of a political leader, violence broke out against the Hindu community, in which many Hindu citizens were killed and their property destroyed.</v>
      </c>
      <c r="D2951" s="2"/>
      <c r="E2951" s="2"/>
      <c r="F2951" s="2"/>
      <c r="G2951" s="2"/>
      <c r="H2951" s="5"/>
      <c r="I2951" s="5"/>
      <c r="J2951" s="5"/>
      <c r="K2951" s="5"/>
      <c r="L2951" s="5"/>
      <c r="M2951" s="5"/>
      <c r="N2951" s="5"/>
      <c r="O2951" s="5"/>
      <c r="P2951" s="5"/>
      <c r="Q2951" s="5"/>
      <c r="R2951" s="5"/>
      <c r="S2951" s="5"/>
      <c r="T2951" s="5"/>
      <c r="U2951" s="5"/>
      <c r="V2951" s="5"/>
      <c r="W2951" s="5"/>
      <c r="X2951" s="5"/>
      <c r="Y2951" s="5"/>
      <c r="Z2951" s="5"/>
    </row>
    <row r="2952" spans="1:26" ht="15.6" x14ac:dyDescent="0.3">
      <c r="A2952" s="18" t="s">
        <v>5</v>
      </c>
      <c r="B2952" s="24" t="s">
        <v>2944</v>
      </c>
      <c r="C2952" s="2" t="str">
        <f ca="1">IFERROR(__xludf.DUMMYFUNCTION("GOOGLETRANSLATE(B2952, ""bn"", ""en"")"),"At least 36 people were killed in Hindu-Muslim riots in Noakhali. Firearms were used in the clashes and there was widespread arson. Strict measures were taken to calm the situation.")</f>
        <v>At least 36 people were killed in Hindu-Muslim riots in Noakhali. Firearms were used in the clashes and there was widespread arson. Strict measures were taken to calm the situation.</v>
      </c>
      <c r="D2952" s="5"/>
      <c r="E2952" s="5"/>
      <c r="F2952" s="5"/>
      <c r="G2952" s="5"/>
      <c r="H2952" s="5"/>
      <c r="I2952" s="5"/>
      <c r="J2952" s="5"/>
      <c r="K2952" s="5"/>
      <c r="L2952" s="5"/>
      <c r="M2952" s="5"/>
      <c r="N2952" s="5"/>
      <c r="O2952" s="5"/>
      <c r="P2952" s="5"/>
      <c r="Q2952" s="5"/>
      <c r="R2952" s="5"/>
      <c r="S2952" s="5"/>
      <c r="T2952" s="5"/>
      <c r="U2952" s="5"/>
      <c r="V2952" s="5"/>
      <c r="W2952" s="5"/>
      <c r="X2952" s="5"/>
      <c r="Y2952" s="5"/>
      <c r="Z2952" s="5"/>
    </row>
    <row r="2953" spans="1:26" ht="15.6" x14ac:dyDescent="0.3">
      <c r="A2953" s="18" t="s">
        <v>5</v>
      </c>
      <c r="B2953" s="24" t="s">
        <v>2945</v>
      </c>
      <c r="C2953" s="2" t="str">
        <f ca="1">IFERROR(__xludf.DUMMYFUNCTION("GOOGLETRANSLATE(B2953, ""bn"", ""en"")"),"In October 2019, 25 people were killed in a terrorist attack on a group of religious people.")</f>
        <v>In October 2019, 25 people were killed in a terrorist attack on a group of religious people.</v>
      </c>
      <c r="D2953" s="5"/>
      <c r="E2953" s="5"/>
      <c r="F2953" s="5"/>
      <c r="G2953" s="5"/>
      <c r="H2953" s="5"/>
      <c r="I2953" s="5"/>
      <c r="J2953" s="5"/>
      <c r="K2953" s="5"/>
      <c r="L2953" s="5"/>
      <c r="M2953" s="5"/>
      <c r="N2953" s="5"/>
      <c r="O2953" s="5"/>
      <c r="P2953" s="5"/>
      <c r="Q2953" s="5"/>
      <c r="R2953" s="5"/>
      <c r="S2953" s="5"/>
      <c r="T2953" s="5"/>
      <c r="U2953" s="5"/>
      <c r="V2953" s="5"/>
      <c r="W2953" s="5"/>
      <c r="X2953" s="5"/>
      <c r="Y2953" s="5"/>
      <c r="Z2953" s="5"/>
    </row>
    <row r="2954" spans="1:26" ht="15.6" x14ac:dyDescent="0.3">
      <c r="A2954" s="18" t="s">
        <v>23</v>
      </c>
      <c r="B2954" s="25" t="s">
        <v>2946</v>
      </c>
      <c r="C2954" s="2" t="str">
        <f ca="1">IFERROR(__xludf.DUMMYFUNCTION("GOOGLETRANSLATE(B2954, ""bn"", ""en"")"),"These hypocrite Muslims show the hadith and say pictures are haram, but beautiful things are all halal, their religious business is going on.")</f>
        <v>These hypocrite Muslims show the hadith and say pictures are haram, but beautiful things are all halal, their religious business is going on.</v>
      </c>
      <c r="D2954" s="5"/>
      <c r="E2954" s="5"/>
      <c r="F2954" s="5"/>
      <c r="G2954" s="5"/>
      <c r="H2954" s="5"/>
      <c r="I2954" s="5"/>
      <c r="J2954" s="5"/>
      <c r="K2954" s="5"/>
      <c r="L2954" s="5"/>
      <c r="M2954" s="5"/>
      <c r="N2954" s="5"/>
      <c r="O2954" s="5"/>
      <c r="P2954" s="5"/>
      <c r="Q2954" s="5"/>
      <c r="R2954" s="5"/>
      <c r="S2954" s="5"/>
      <c r="T2954" s="5"/>
      <c r="U2954" s="5"/>
      <c r="V2954" s="5"/>
      <c r="W2954" s="5"/>
      <c r="X2954" s="5"/>
      <c r="Y2954" s="5"/>
      <c r="Z2954" s="5"/>
    </row>
    <row r="2955" spans="1:26" ht="15.6" x14ac:dyDescent="0.3">
      <c r="A2955" s="19" t="s">
        <v>23</v>
      </c>
      <c r="B2955" s="26" t="s">
        <v>2947</v>
      </c>
      <c r="C2955" s="2" t="str">
        <f ca="1">IFERROR(__xludf.DUMMYFUNCTION("GOOGLETRANSLATE(B2955, ""bn"", ""en"")"),"On Saturday, the lawyer approached the police against Udayanidhi for making controversial comments about 'Sanatan Dharma'.")</f>
        <v>On Saturday, the lawyer approached the police against Udayanidhi for making controversial comments about 'Sanatan Dharma'.</v>
      </c>
      <c r="D2955" s="5"/>
      <c r="E2955" s="5"/>
      <c r="F2955" s="5"/>
      <c r="G2955" s="5"/>
      <c r="H2955" s="5"/>
      <c r="I2955" s="5"/>
      <c r="J2955" s="5"/>
      <c r="K2955" s="5"/>
      <c r="L2955" s="5"/>
      <c r="M2955" s="5"/>
      <c r="N2955" s="5"/>
      <c r="O2955" s="5"/>
      <c r="P2955" s="5"/>
      <c r="Q2955" s="5"/>
      <c r="R2955" s="5"/>
      <c r="S2955" s="5"/>
      <c r="T2955" s="5"/>
      <c r="U2955" s="5"/>
      <c r="V2955" s="5"/>
      <c r="W2955" s="5"/>
      <c r="X2955" s="5"/>
      <c r="Y2955" s="5"/>
      <c r="Z2955" s="5"/>
    </row>
    <row r="2956" spans="1:26" ht="15.6" x14ac:dyDescent="0.3">
      <c r="A2956" s="18" t="s">
        <v>5</v>
      </c>
      <c r="B2956" s="25" t="s">
        <v>2948</v>
      </c>
      <c r="C2956" s="2" t="str">
        <f ca="1">IFERROR(__xludf.DUMMYFUNCTION("GOOGLETRANSLATE(B2956, ""bn"", ""en"")"),"The invading forces brutally killed 19 members of the slave family. Before the murder, the women of the house were raped. The barbaric rioters attacked the Chowdhury family of Noakhola village under Ramganj police station.")</f>
        <v>The invading forces brutally killed 19 members of the slave family. Before the murder, the women of the house were raped. The barbaric rioters attacked the Chowdhury family of Noakhola village under Ramganj police station.</v>
      </c>
      <c r="D2956" s="6"/>
      <c r="E2956" s="6"/>
      <c r="F2956" s="6"/>
      <c r="G2956" s="6"/>
      <c r="H2956" s="3"/>
      <c r="I2956" s="3"/>
      <c r="J2956" s="3"/>
      <c r="K2956" s="3"/>
      <c r="L2956" s="3"/>
      <c r="M2956" s="3"/>
      <c r="N2956" s="3"/>
      <c r="O2956" s="3"/>
      <c r="P2956" s="3"/>
      <c r="Q2956" s="3"/>
      <c r="R2956" s="3"/>
      <c r="S2956" s="3"/>
      <c r="T2956" s="3"/>
      <c r="U2956" s="3"/>
      <c r="V2956" s="3"/>
      <c r="W2956" s="3"/>
      <c r="X2956" s="3"/>
      <c r="Y2956" s="3"/>
      <c r="Z2956" s="3"/>
    </row>
    <row r="2957" spans="1:26" ht="15.6" x14ac:dyDescent="0.3">
      <c r="A2957" s="19" t="s">
        <v>3</v>
      </c>
      <c r="B2957" s="26" t="s">
        <v>2949</v>
      </c>
      <c r="C2957" s="2" t="str">
        <f ca="1">IFERROR(__xludf.DUMMYFUNCTION("GOOGLETRANSLATE(B2957, ""bn"", ""en"")"),"The Muslim community should be vigilant that the construction work of the mosque is not stopped at any cost. The MP should be stricter and stricter in this regard and give us a model mosque after completing the construction work, Inshallah.")</f>
        <v>The Muslim community should be vigilant that the construction work of the mosque is not stopped at any cost. The MP should be stricter and stricter in this regard and give us a model mosque after completing the construction work, Inshallah.</v>
      </c>
      <c r="D2957" s="7"/>
      <c r="E2957" s="5"/>
      <c r="F2957" s="5"/>
      <c r="G2957" s="5"/>
      <c r="H2957" s="5"/>
      <c r="I2957" s="5"/>
      <c r="J2957" s="5"/>
      <c r="K2957" s="5"/>
      <c r="L2957" s="5"/>
      <c r="M2957" s="5"/>
      <c r="N2957" s="5"/>
      <c r="O2957" s="5"/>
      <c r="P2957" s="5"/>
      <c r="Q2957" s="5"/>
      <c r="R2957" s="5"/>
      <c r="S2957" s="5"/>
      <c r="T2957" s="5"/>
      <c r="U2957" s="5"/>
      <c r="V2957" s="5"/>
      <c r="W2957" s="5"/>
      <c r="X2957" s="5"/>
      <c r="Y2957" s="5"/>
      <c r="Z2957" s="5"/>
    </row>
    <row r="2958" spans="1:26" ht="15.6" x14ac:dyDescent="0.3">
      <c r="A2958" s="19" t="s">
        <v>23</v>
      </c>
      <c r="B2958" s="26" t="s">
        <v>2950</v>
      </c>
      <c r="C2958" s="2" t="str">
        <f ca="1">IFERROR(__xludf.DUMMYFUNCTION("GOOGLETRANSLATE(B2958, ""bn"", ""en"")"),"Bro, listen to the news media and stop dancing without verifying the truth. Bangladesh is a country of communal harmony. RDU also believes in the same ideology. Don't spread rumours.")</f>
        <v>Bro, listen to the news media and stop dancing without verifying the truth. Bangladesh is a country of communal harmony. RDU also believes in the same ideology. Don't spread rumours.</v>
      </c>
      <c r="D2958" s="5"/>
      <c r="E2958" s="5"/>
      <c r="F2958" s="5"/>
      <c r="G2958" s="5"/>
      <c r="H2958" s="5"/>
      <c r="I2958" s="5"/>
      <c r="J2958" s="5"/>
      <c r="K2958" s="5"/>
      <c r="L2958" s="5"/>
      <c r="M2958" s="5"/>
      <c r="N2958" s="5"/>
      <c r="O2958" s="5"/>
      <c r="P2958" s="5"/>
      <c r="Q2958" s="5"/>
      <c r="R2958" s="5"/>
      <c r="S2958" s="5"/>
      <c r="T2958" s="5"/>
      <c r="U2958" s="5"/>
      <c r="V2958" s="5"/>
      <c r="W2958" s="5"/>
      <c r="X2958" s="5"/>
      <c r="Y2958" s="5"/>
      <c r="Z2958" s="5"/>
    </row>
    <row r="2959" spans="1:26" ht="15.6" x14ac:dyDescent="0.3">
      <c r="A2959" s="18" t="s">
        <v>23</v>
      </c>
      <c r="B2959" s="25" t="s">
        <v>2951</v>
      </c>
      <c r="C2959" s="2" t="str">
        <f ca="1">IFERROR(__xludf.DUMMYFUNCTION("GOOGLETRANSLATE(B2959, ""bn"", ""en"")"),"Instead of showing all sympathy for other religions, show some helpless Muslims too, then they can live with a little personal freedom.")</f>
        <v>Instead of showing all sympathy for other religions, show some helpless Muslims too, then they can live with a little personal freedom.</v>
      </c>
      <c r="D2959" s="2"/>
      <c r="E2959" s="2"/>
      <c r="F2959" s="2"/>
      <c r="G2959" s="2"/>
      <c r="H2959" s="3"/>
      <c r="I2959" s="3"/>
      <c r="J2959" s="3"/>
      <c r="K2959" s="3"/>
      <c r="L2959" s="3"/>
      <c r="M2959" s="3"/>
      <c r="N2959" s="3"/>
      <c r="O2959" s="3"/>
      <c r="P2959" s="3"/>
      <c r="Q2959" s="3"/>
      <c r="R2959" s="3"/>
      <c r="S2959" s="3"/>
      <c r="T2959" s="3"/>
      <c r="U2959" s="3"/>
      <c r="V2959" s="3"/>
      <c r="W2959" s="3"/>
      <c r="X2959" s="3"/>
      <c r="Y2959" s="3"/>
      <c r="Z2959" s="3"/>
    </row>
    <row r="2960" spans="1:26" ht="15.6" x14ac:dyDescent="0.3">
      <c r="A2960" s="18" t="s">
        <v>23</v>
      </c>
      <c r="B2960" s="24" t="s">
        <v>2952</v>
      </c>
      <c r="C2960" s="2" t="str">
        <f ca="1">IFERROR(__xludf.DUMMYFUNCTION("GOOGLETRANSLATE(B2960, ""bn"", ""en"")"),"Hindus often want to establish their religious beliefs over other religions, which threatens religious tolerance.")</f>
        <v>Hindus often want to establish their religious beliefs over other religions, which threatens religious tolerance.</v>
      </c>
      <c r="D2960" s="5"/>
      <c r="E2960" s="5"/>
      <c r="F2960" s="5"/>
      <c r="G2960" s="5"/>
      <c r="H2960" s="5"/>
      <c r="I2960" s="5"/>
      <c r="J2960" s="5"/>
      <c r="K2960" s="5"/>
      <c r="L2960" s="5"/>
      <c r="M2960" s="5"/>
      <c r="N2960" s="5"/>
      <c r="O2960" s="5"/>
      <c r="P2960" s="5"/>
      <c r="Q2960" s="5"/>
      <c r="R2960" s="5"/>
      <c r="S2960" s="5"/>
      <c r="T2960" s="5"/>
      <c r="U2960" s="5"/>
      <c r="V2960" s="5"/>
      <c r="W2960" s="5"/>
      <c r="X2960" s="5"/>
      <c r="Y2960" s="5"/>
      <c r="Z2960" s="5"/>
    </row>
    <row r="2961" spans="1:26" ht="15.6" x14ac:dyDescent="0.3">
      <c r="A2961" s="19" t="s">
        <v>5</v>
      </c>
      <c r="B2961" s="26" t="s">
        <v>2953</v>
      </c>
      <c r="C2961" s="2" t="str">
        <f ca="1">IFERROR(__xludf.DUMMYFUNCTION("GOOGLETRANSLATE(B2961, ""bn"", ""en"")"),"In the year from July 2023 to June 2024, there were 1,045 incidents of communal violence, torture and persecution, including 45 murders.")</f>
        <v>In the year from July 2023 to June 2024, there were 1,045 incidents of communal violence, torture and persecution, including 45 murders.</v>
      </c>
      <c r="D2961" s="7"/>
      <c r="E2961" s="7"/>
      <c r="F2961" s="7"/>
      <c r="G2961" s="7"/>
      <c r="H2961" s="7"/>
      <c r="I2961" s="7"/>
      <c r="J2961" s="7"/>
      <c r="K2961" s="7"/>
      <c r="L2961" s="5"/>
      <c r="M2961" s="5"/>
      <c r="N2961" s="5"/>
      <c r="O2961" s="5"/>
      <c r="P2961" s="5"/>
      <c r="Q2961" s="5"/>
      <c r="R2961" s="5"/>
      <c r="S2961" s="5"/>
      <c r="T2961" s="5"/>
      <c r="U2961" s="5"/>
      <c r="V2961" s="5"/>
      <c r="W2961" s="5"/>
      <c r="X2961" s="5"/>
      <c r="Y2961" s="5"/>
      <c r="Z2961" s="5"/>
    </row>
    <row r="2962" spans="1:26" ht="15.6" x14ac:dyDescent="0.3">
      <c r="A2962" s="18" t="s">
        <v>5</v>
      </c>
      <c r="B2962" s="25" t="s">
        <v>2954</v>
      </c>
      <c r="C2962" s="2" t="str">
        <f ca="1">IFERROR(__xludf.DUMMYFUNCTION("GOOGLETRANSLATE(B2962, ""bn"", ""en"")"),"I will kill Muslims by shooting them like birds")</f>
        <v>I will kill Muslims by shooting them like birds</v>
      </c>
      <c r="D2962" s="5"/>
      <c r="E2962" s="5"/>
      <c r="F2962" s="5"/>
      <c r="G2962" s="5"/>
      <c r="H2962" s="5"/>
      <c r="I2962" s="5"/>
      <c r="J2962" s="5"/>
      <c r="K2962" s="5"/>
      <c r="L2962" s="5"/>
      <c r="M2962" s="5"/>
      <c r="N2962" s="5"/>
      <c r="O2962" s="5"/>
      <c r="P2962" s="5"/>
      <c r="Q2962" s="5"/>
      <c r="R2962" s="5"/>
      <c r="S2962" s="5"/>
      <c r="T2962" s="5"/>
      <c r="U2962" s="5"/>
      <c r="V2962" s="5"/>
      <c r="W2962" s="5"/>
      <c r="X2962" s="5"/>
      <c r="Y2962" s="5"/>
      <c r="Z2962" s="5"/>
    </row>
    <row r="2963" spans="1:26" ht="15.6" x14ac:dyDescent="0.3">
      <c r="A2963" s="19" t="s">
        <v>3</v>
      </c>
      <c r="B2963" s="26" t="s">
        <v>2955</v>
      </c>
      <c r="C2963" s="2" t="str">
        <f ca="1">IFERROR(__xludf.DUMMYFUNCTION("GOOGLETRANSLATE(B2963, ""bn"", ""en"")"),"The main differences between Judaism and Islam are in terms of time and belief; Jews respect the Prophets of Bani Israel, while Muslims respect all the Prophets including Bani Israel and accept Prophet Muhammad (pbuh) as the last and ideal prophet.")</f>
        <v>The main differences between Judaism and Islam are in terms of time and belief; Jews respect the Prophets of Bani Israel, while Muslims respect all the Prophets including Bani Israel and accept Prophet Muhammad (pbuh) as the last and ideal prophet.</v>
      </c>
      <c r="D2963" s="7"/>
      <c r="E2963" s="7"/>
      <c r="F2963" s="7"/>
      <c r="G2963" s="7"/>
      <c r="H2963" s="7"/>
      <c r="I2963" s="7"/>
      <c r="J2963" s="7"/>
      <c r="K2963" s="7"/>
      <c r="L2963" s="7"/>
      <c r="M2963" s="7"/>
      <c r="N2963" s="7"/>
      <c r="O2963" s="7"/>
      <c r="P2963" s="7"/>
      <c r="Q2963" s="7"/>
      <c r="R2963" s="7"/>
      <c r="S2963" s="7"/>
      <c r="T2963" s="7"/>
      <c r="U2963" s="5"/>
      <c r="V2963" s="5"/>
      <c r="W2963" s="5"/>
      <c r="X2963" s="5"/>
      <c r="Y2963" s="5"/>
      <c r="Z2963" s="5"/>
    </row>
    <row r="2964" spans="1:26" ht="15.6" x14ac:dyDescent="0.3">
      <c r="A2964" s="19" t="s">
        <v>8</v>
      </c>
      <c r="B2964" s="26" t="s">
        <v>2956</v>
      </c>
      <c r="C2964" s="2" t="str">
        <f ca="1">IFERROR(__xludf.DUMMYFUNCTION("GOOGLETRANSLATE(B2964, ""bn"", ""en"")"),"Several houses and religious places of worship of the Baha'i community in Bangladesh were attacked.")</f>
        <v>Several houses and religious places of worship of the Baha'i community in Bangladesh were attacked.</v>
      </c>
      <c r="D2964" s="7"/>
      <c r="E2964" s="7"/>
      <c r="F2964" s="5"/>
      <c r="G2964" s="5"/>
      <c r="H2964" s="5"/>
      <c r="I2964" s="5"/>
      <c r="J2964" s="5"/>
      <c r="K2964" s="5"/>
      <c r="L2964" s="5"/>
      <c r="M2964" s="5"/>
      <c r="N2964" s="5"/>
      <c r="O2964" s="5"/>
      <c r="P2964" s="5"/>
      <c r="Q2964" s="5"/>
      <c r="R2964" s="5"/>
      <c r="S2964" s="5"/>
      <c r="T2964" s="5"/>
      <c r="U2964" s="5"/>
      <c r="V2964" s="5"/>
      <c r="W2964" s="5"/>
      <c r="X2964" s="5"/>
      <c r="Y2964" s="5"/>
      <c r="Z2964" s="5"/>
    </row>
    <row r="2965" spans="1:26" ht="15.6" x14ac:dyDescent="0.3">
      <c r="A2965" s="19" t="s">
        <v>3</v>
      </c>
      <c r="B2965" s="26" t="s">
        <v>2957</v>
      </c>
      <c r="C2965" s="2" t="str">
        <f ca="1">IFERROR(__xludf.DUMMYFUNCTION("GOOGLETRANSLATE(B2965, ""bn"", ""en"")"),"The practice of sati-dah in Bangladeshi society started late and became regular after 500 AD.")</f>
        <v>The practice of sati-dah in Bangladeshi society started late and became regular after 500 AD.</v>
      </c>
      <c r="D2965" s="7"/>
      <c r="E2965" s="7"/>
      <c r="F2965" s="5"/>
      <c r="G2965" s="5"/>
      <c r="H2965" s="5"/>
      <c r="I2965" s="5"/>
      <c r="J2965" s="5"/>
      <c r="K2965" s="5"/>
      <c r="L2965" s="5"/>
      <c r="M2965" s="5"/>
      <c r="N2965" s="5"/>
      <c r="O2965" s="5"/>
      <c r="P2965" s="5"/>
      <c r="Q2965" s="5"/>
      <c r="R2965" s="5"/>
      <c r="S2965" s="5"/>
      <c r="T2965" s="5"/>
      <c r="U2965" s="5"/>
      <c r="V2965" s="5"/>
      <c r="W2965" s="5"/>
      <c r="X2965" s="5"/>
      <c r="Y2965" s="5"/>
      <c r="Z2965" s="5"/>
    </row>
    <row r="2966" spans="1:26" ht="15.6" x14ac:dyDescent="0.3">
      <c r="A2966" s="18" t="s">
        <v>8</v>
      </c>
      <c r="B2966" s="25" t="s">
        <v>2958</v>
      </c>
      <c r="C2966" s="2" t="str">
        <f ca="1">IFERROR(__xludf.DUMMYFUNCTION("GOOGLETRANSLATE(B2966, ""bn"", ""en"")"),"In Bogra district, Jamaat Islam and BNP workers attacked Hindus in Nandigram upazila.")</f>
        <v>In Bogra district, Jamaat Islam and BNP workers attacked Hindus in Nandigram upazila.</v>
      </c>
      <c r="D2966" s="2"/>
      <c r="E2966" s="2"/>
      <c r="F2966" s="2"/>
      <c r="G2966" s="2"/>
      <c r="H2966" s="3"/>
      <c r="I2966" s="3"/>
      <c r="J2966" s="3"/>
      <c r="K2966" s="3"/>
      <c r="L2966" s="3"/>
      <c r="M2966" s="3"/>
      <c r="N2966" s="3"/>
      <c r="O2966" s="3"/>
      <c r="P2966" s="3"/>
      <c r="Q2966" s="3"/>
      <c r="R2966" s="3"/>
      <c r="S2966" s="3"/>
      <c r="T2966" s="3"/>
      <c r="U2966" s="3"/>
      <c r="V2966" s="3"/>
      <c r="W2966" s="3"/>
      <c r="X2966" s="3"/>
      <c r="Y2966" s="3"/>
      <c r="Z2966" s="3"/>
    </row>
    <row r="2967" spans="1:26" ht="15.6" x14ac:dyDescent="0.3">
      <c r="A2967" s="18" t="s">
        <v>5</v>
      </c>
      <c r="B2967" s="24" t="s">
        <v>2959</v>
      </c>
      <c r="C2967" s="2" t="str">
        <f ca="1">IFERROR(__xludf.DUMMYFUNCTION("GOOGLETRANSLATE(B2967, ""bn"", ""en"")"),"In Brahmanbaria, religious groups perpetrated violence against minorities; 36 people lost their lives.")</f>
        <v>In Brahmanbaria, religious groups perpetrated violence against minorities; 36 people lost their lives.</v>
      </c>
      <c r="D2967" s="5"/>
      <c r="E2967" s="5"/>
      <c r="F2967" s="5"/>
      <c r="G2967" s="5"/>
      <c r="H2967" s="5"/>
      <c r="I2967" s="5"/>
      <c r="J2967" s="5"/>
      <c r="K2967" s="5"/>
      <c r="L2967" s="5"/>
      <c r="M2967" s="5"/>
      <c r="N2967" s="5"/>
      <c r="O2967" s="5"/>
      <c r="P2967" s="5"/>
      <c r="Q2967" s="5"/>
      <c r="R2967" s="5"/>
      <c r="S2967" s="5"/>
      <c r="T2967" s="5"/>
      <c r="U2967" s="5"/>
      <c r="V2967" s="5"/>
      <c r="W2967" s="5"/>
      <c r="X2967" s="5"/>
      <c r="Y2967" s="5"/>
      <c r="Z2967" s="5"/>
    </row>
    <row r="2968" spans="1:26" ht="15.6" x14ac:dyDescent="0.3">
      <c r="A2968" s="19" t="s">
        <v>8</v>
      </c>
      <c r="B2968" s="26" t="s">
        <v>2960</v>
      </c>
      <c r="C2968" s="2" t="str">
        <f ca="1">IFERROR(__xludf.DUMMYFUNCTION("GOOGLETRANSLATE(B2968, ""bn"", ""en"")"),"In 1986, 24 people were killed in the violence that started with a Hindu procession in Ahmedabad.")</f>
        <v>In 1986, 24 people were killed in the violence that started with a Hindu procession in Ahmedabad.</v>
      </c>
      <c r="D2968" s="7"/>
      <c r="E2968" s="7"/>
      <c r="F2968" s="5"/>
      <c r="G2968" s="5"/>
      <c r="H2968" s="5"/>
      <c r="I2968" s="5"/>
      <c r="J2968" s="5"/>
      <c r="K2968" s="5"/>
      <c r="L2968" s="5"/>
      <c r="M2968" s="5"/>
      <c r="N2968" s="5"/>
      <c r="O2968" s="5"/>
      <c r="P2968" s="5"/>
      <c r="Q2968" s="5"/>
      <c r="R2968" s="5"/>
      <c r="S2968" s="5"/>
      <c r="T2968" s="5"/>
      <c r="U2968" s="5"/>
      <c r="V2968" s="5"/>
      <c r="W2968" s="5"/>
      <c r="X2968" s="5"/>
      <c r="Y2968" s="5"/>
      <c r="Z2968" s="5"/>
    </row>
    <row r="2969" spans="1:26" ht="15.6" x14ac:dyDescent="0.3">
      <c r="A2969" s="18" t="s">
        <v>23</v>
      </c>
      <c r="B2969" s="24" t="s">
        <v>2961</v>
      </c>
      <c r="C2969" s="2" t="str">
        <f ca="1">IFERROR(__xludf.DUMMYFUNCTION("GOOGLETRANSLATE(B2969, ""bn"", ""en"")"),"Some extremists in the Muslim community are spreading religious extremism, creating religious conflict and encouraging violence in the society.")</f>
        <v>Some extremists in the Muslim community are spreading religious extremism, creating religious conflict and encouraging violence in the society.</v>
      </c>
      <c r="D2969" s="5"/>
      <c r="E2969" s="5"/>
      <c r="F2969" s="5"/>
      <c r="G2969" s="5"/>
      <c r="H2969" s="5"/>
      <c r="I2969" s="5"/>
      <c r="J2969" s="5"/>
      <c r="K2969" s="5"/>
      <c r="L2969" s="5"/>
      <c r="M2969" s="5"/>
      <c r="N2969" s="5"/>
      <c r="O2969" s="5"/>
      <c r="P2969" s="5"/>
      <c r="Q2969" s="5"/>
      <c r="R2969" s="5"/>
      <c r="S2969" s="5"/>
      <c r="T2969" s="5"/>
      <c r="U2969" s="5"/>
      <c r="V2969" s="5"/>
      <c r="W2969" s="5"/>
      <c r="X2969" s="5"/>
      <c r="Y2969" s="5"/>
      <c r="Z2969" s="5"/>
    </row>
    <row r="2970" spans="1:26" ht="15.6" x14ac:dyDescent="0.3">
      <c r="A2970" s="18" t="s">
        <v>23</v>
      </c>
      <c r="B2970" s="24" t="s">
        <v>2962</v>
      </c>
      <c r="C2970" s="2" t="str">
        <f ca="1">IFERROR(__xludf.DUMMYFUNCTION("GOOGLETRANSLATE(B2970, ""bn"", ""en"")"),"Many in the Hindu community are destroying the religious peace with their hostile attitude towards other religions.")</f>
        <v>Many in the Hindu community are destroying the religious peace with their hostile attitude towards other religions.</v>
      </c>
      <c r="D2970" s="5"/>
      <c r="E2970" s="5"/>
      <c r="F2970" s="5"/>
      <c r="G2970" s="5"/>
      <c r="H2970" s="5"/>
      <c r="I2970" s="5"/>
      <c r="J2970" s="5"/>
      <c r="K2970" s="5"/>
      <c r="L2970" s="5"/>
      <c r="M2970" s="5"/>
      <c r="N2970" s="5"/>
      <c r="O2970" s="5"/>
      <c r="P2970" s="5"/>
      <c r="Q2970" s="5"/>
      <c r="R2970" s="5"/>
      <c r="S2970" s="5"/>
      <c r="T2970" s="5"/>
      <c r="U2970" s="5"/>
      <c r="V2970" s="5"/>
      <c r="W2970" s="5"/>
      <c r="X2970" s="5"/>
      <c r="Y2970" s="5"/>
      <c r="Z2970" s="5"/>
    </row>
    <row r="2971" spans="1:26" ht="15.6" x14ac:dyDescent="0.3">
      <c r="A2971" s="18" t="s">
        <v>3</v>
      </c>
      <c r="B2971" s="25" t="s">
        <v>2963</v>
      </c>
      <c r="C2971" s="2" t="str">
        <f ca="1">IFERROR(__xludf.DUMMYFUNCTION("GOOGLETRANSLATE(B2971, ""bn"", ""en"")"),"In 2012, the government passed the Hindu Marriage Registration Act, which provides an option for Hindus to register their marriages with the government. The bill aimed to protect the rights of Hindu women, whose rights were not protected under religious m"&amp;"arriage.")</f>
        <v>In 2012, the government passed the Hindu Marriage Registration Act, which provides an option for Hindus to register their marriages with the government. The bill aimed to protect the rights of Hindu women, whose rights were not protected under religious marriage.</v>
      </c>
      <c r="D2971" s="2"/>
      <c r="E2971" s="2"/>
      <c r="F2971" s="2"/>
      <c r="G2971" s="2"/>
      <c r="H2971" s="3"/>
      <c r="I2971" s="3"/>
      <c r="J2971" s="3"/>
      <c r="K2971" s="3"/>
      <c r="L2971" s="3"/>
      <c r="M2971" s="3"/>
      <c r="N2971" s="3"/>
      <c r="O2971" s="3"/>
      <c r="P2971" s="3"/>
      <c r="Q2971" s="3"/>
      <c r="R2971" s="3"/>
      <c r="S2971" s="3"/>
      <c r="T2971" s="3"/>
      <c r="U2971" s="3"/>
      <c r="V2971" s="3"/>
      <c r="W2971" s="3"/>
      <c r="X2971" s="3"/>
      <c r="Y2971" s="3"/>
      <c r="Z2971" s="3"/>
    </row>
    <row r="2972" spans="1:26" ht="15.6" x14ac:dyDescent="0.3">
      <c r="A2972" s="18" t="s">
        <v>23</v>
      </c>
      <c r="B2972" s="24" t="s">
        <v>2964</v>
      </c>
      <c r="C2972" s="2" t="str">
        <f ca="1">IFERROR(__xludf.DUMMYFUNCTION("GOOGLETRANSLATE(B2972, ""bn"", ""en"")"),"Christian missionaries used money and influence to convert and try to confuse the religious beliefs of the local people.")</f>
        <v>Christian missionaries used money and influence to convert and try to confuse the religious beliefs of the local people.</v>
      </c>
      <c r="D2972" s="5"/>
      <c r="E2972" s="5"/>
      <c r="F2972" s="5"/>
      <c r="G2972" s="5"/>
      <c r="H2972" s="5"/>
      <c r="I2972" s="5"/>
      <c r="J2972" s="5"/>
      <c r="K2972" s="5"/>
      <c r="L2972" s="5"/>
      <c r="M2972" s="5"/>
      <c r="N2972" s="5"/>
      <c r="O2972" s="5"/>
      <c r="P2972" s="5"/>
      <c r="Q2972" s="5"/>
      <c r="R2972" s="5"/>
      <c r="S2972" s="5"/>
      <c r="T2972" s="5"/>
      <c r="U2972" s="5"/>
      <c r="V2972" s="5"/>
      <c r="W2972" s="5"/>
      <c r="X2972" s="5"/>
      <c r="Y2972" s="5"/>
      <c r="Z2972" s="5"/>
    </row>
    <row r="2973" spans="1:26" ht="15.6" x14ac:dyDescent="0.3">
      <c r="A2973" s="18" t="s">
        <v>5</v>
      </c>
      <c r="B2973" s="24" t="s">
        <v>2965</v>
      </c>
      <c r="C2973" s="2" t="str">
        <f ca="1">IFERROR(__xludf.DUMMYFUNCTION("GOOGLETRANSLATE(B2973, ""bn"", ""en"")"),"When clashes broke out in a village in Kishoreganj, the police took steps to bring peace, but it did not last. At least 50 people, mostly members of minority communities, were killed during the clashes. As a result of arson and looting, many families were"&amp;" rendered homeless and forced to take shelter in the surrounding forests. Police failed to provide security.")</f>
        <v>When clashes broke out in a village in Kishoreganj, the police took steps to bring peace, but it did not last. At least 50 people, mostly members of minority communities, were killed during the clashes. As a result of arson and looting, many families were rendered homeless and forced to take shelter in the surrounding forests. Police failed to provide security.</v>
      </c>
      <c r="D2973" s="5"/>
      <c r="E2973" s="5"/>
      <c r="F2973" s="5"/>
      <c r="G2973" s="5"/>
      <c r="H2973" s="5"/>
      <c r="I2973" s="5"/>
      <c r="J2973" s="5"/>
      <c r="K2973" s="5"/>
      <c r="L2973" s="5"/>
      <c r="M2973" s="5"/>
      <c r="N2973" s="5"/>
      <c r="O2973" s="5"/>
      <c r="P2973" s="5"/>
      <c r="Q2973" s="5"/>
      <c r="R2973" s="5"/>
      <c r="S2973" s="5"/>
      <c r="T2973" s="5"/>
      <c r="U2973" s="5"/>
      <c r="V2973" s="5"/>
      <c r="W2973" s="5"/>
      <c r="X2973" s="5"/>
      <c r="Y2973" s="5"/>
      <c r="Z2973" s="5"/>
    </row>
    <row r="2974" spans="1:26" ht="15.6" x14ac:dyDescent="0.3">
      <c r="A2974" s="19" t="s">
        <v>5</v>
      </c>
      <c r="B2974" s="26" t="s">
        <v>2966</v>
      </c>
      <c r="C2974" s="2" t="str">
        <f ca="1">IFERROR(__xludf.DUMMYFUNCTION("GOOGLETRANSLATE(B2974, ""bn"", ""en"")"),"In the history of religious riots in Bangladesh, the Bhawaibari massacre of 1989 in Rangpur district is considered as one of the worst incidents. There a group organized burnt the houses of the Hindu community and loss of life took place.")</f>
        <v>In the history of religious riots in Bangladesh, the Bhawaibari massacre of 1989 in Rangpur district is considered as one of the worst incidents. There a group organized burnt the houses of the Hindu community and loss of life took place.</v>
      </c>
      <c r="D2974" s="6"/>
      <c r="E2974" s="6"/>
      <c r="F2974" s="6"/>
      <c r="G2974" s="2"/>
      <c r="H2974" s="3"/>
      <c r="I2974" s="3"/>
      <c r="J2974" s="3"/>
      <c r="K2974" s="3"/>
      <c r="L2974" s="3"/>
      <c r="M2974" s="3"/>
      <c r="N2974" s="3"/>
      <c r="O2974" s="3"/>
      <c r="P2974" s="3"/>
      <c r="Q2974" s="3"/>
      <c r="R2974" s="3"/>
      <c r="S2974" s="3"/>
      <c r="T2974" s="3"/>
      <c r="U2974" s="3"/>
      <c r="V2974" s="3"/>
      <c r="W2974" s="3"/>
      <c r="X2974" s="3"/>
      <c r="Y2974" s="3"/>
      <c r="Z2974" s="3"/>
    </row>
    <row r="2975" spans="1:26" ht="15.6" x14ac:dyDescent="0.3">
      <c r="A2975" s="19" t="s">
        <v>23</v>
      </c>
      <c r="B2975" s="26" t="s">
        <v>2967</v>
      </c>
      <c r="C2975" s="2" t="str">
        <f ca="1">IFERROR(__xludf.DUMMYFUNCTION("GOOGLETRANSLATE(B2975, ""bn"", ""en"")"),"Women don't want to follow religion, they marry whoever they find, they only understand two things, chat and stomach.")</f>
        <v>Women don't want to follow religion, they marry whoever they find, they only understand two things, chat and stomach.</v>
      </c>
      <c r="D2975" s="5"/>
      <c r="E2975" s="5"/>
      <c r="F2975" s="5"/>
      <c r="G2975" s="5"/>
      <c r="H2975" s="5"/>
      <c r="I2975" s="5"/>
      <c r="J2975" s="5"/>
      <c r="K2975" s="5"/>
      <c r="L2975" s="5"/>
      <c r="M2975" s="5"/>
      <c r="N2975" s="5"/>
      <c r="O2975" s="5"/>
      <c r="P2975" s="5"/>
      <c r="Q2975" s="5"/>
      <c r="R2975" s="5"/>
      <c r="S2975" s="5"/>
      <c r="T2975" s="5"/>
      <c r="U2975" s="5"/>
      <c r="V2975" s="5"/>
      <c r="W2975" s="5"/>
      <c r="X2975" s="5"/>
      <c r="Y2975" s="5"/>
      <c r="Z2975" s="5"/>
    </row>
    <row r="2976" spans="1:26" ht="15.6" x14ac:dyDescent="0.3">
      <c r="A2976" s="18" t="s">
        <v>3</v>
      </c>
      <c r="B2976" s="25" t="s">
        <v>2968</v>
      </c>
      <c r="C2976" s="2" t="str">
        <f ca="1">IFERROR(__xludf.DUMMYFUNCTION("GOOGLETRANSLATE(B2976, ""bn"", ""en"")"),"Muslims are always ready to make the highest sacrifice to protect the honor of the Qur'an, although the great creator himself has declared - the responsibility of preserving the Qur'an is mine alone, I will protect it.")</f>
        <v>Muslims are always ready to make the highest sacrifice to protect the honor of the Qur'an, although the great creator himself has declared - the responsibility of preserving the Qur'an is mine alone, I will protect it.</v>
      </c>
      <c r="D2976" s="6"/>
      <c r="E2976" s="2"/>
      <c r="F2976" s="2"/>
      <c r="G2976" s="2"/>
      <c r="H2976" s="3"/>
      <c r="I2976" s="3"/>
      <c r="J2976" s="3"/>
      <c r="K2976" s="3"/>
      <c r="L2976" s="3"/>
      <c r="M2976" s="3"/>
      <c r="N2976" s="3"/>
      <c r="O2976" s="3"/>
      <c r="P2976" s="3"/>
      <c r="Q2976" s="3"/>
      <c r="R2976" s="3"/>
      <c r="S2976" s="3"/>
      <c r="T2976" s="3"/>
      <c r="U2976" s="3"/>
      <c r="V2976" s="3"/>
      <c r="W2976" s="3"/>
      <c r="X2976" s="3"/>
      <c r="Y2976" s="3"/>
      <c r="Z2976" s="3"/>
    </row>
    <row r="2977" spans="1:26" ht="15.6" x14ac:dyDescent="0.3">
      <c r="A2977" s="19" t="s">
        <v>5</v>
      </c>
      <c r="B2977" s="30" t="s">
        <v>2969</v>
      </c>
      <c r="C2977" s="2" t="str">
        <f ca="1">IFERROR(__xludf.DUMMYFUNCTION("GOOGLETRANSLATE(B2977, ""bn"", ""en"")"),"Between 1954 and 1982, Hindu-Muslim communal violence resulted in the deaths of around 10,000 Muslims.")</f>
        <v>Between 1954 and 1982, Hindu-Muslim communal violence resulted in the deaths of around 10,000 Muslims.</v>
      </c>
      <c r="D2977" s="5"/>
      <c r="E2977" s="5"/>
      <c r="F2977" s="5"/>
      <c r="G2977" s="5"/>
      <c r="H2977" s="5"/>
      <c r="I2977" s="5"/>
      <c r="J2977" s="5"/>
      <c r="K2977" s="5"/>
      <c r="L2977" s="5"/>
      <c r="M2977" s="5"/>
      <c r="N2977" s="5"/>
      <c r="O2977" s="5"/>
      <c r="P2977" s="5"/>
      <c r="Q2977" s="5"/>
      <c r="R2977" s="5"/>
      <c r="S2977" s="5"/>
      <c r="T2977" s="5"/>
      <c r="U2977" s="5"/>
      <c r="V2977" s="5"/>
      <c r="W2977" s="5"/>
      <c r="X2977" s="5"/>
      <c r="Y2977" s="5"/>
      <c r="Z2977" s="5"/>
    </row>
    <row r="2978" spans="1:26" ht="15.6" x14ac:dyDescent="0.3">
      <c r="A2978" s="19" t="s">
        <v>5</v>
      </c>
      <c r="B2978" s="26" t="s">
        <v>2970</v>
      </c>
      <c r="C2978" s="2" t="str">
        <f ca="1">IFERROR(__xludf.DUMMYFUNCTION("GOOGLETRANSLATE(B2978, ""bn"", ""en"")"),"On August 13, the local police refused to restrain a pig grazing in the Eidgah grounds and a group of Muslims threw stones at the police.")</f>
        <v>On August 13, the local police refused to restrain a pig grazing in the Eidgah grounds and a group of Muslims threw stones at the police.</v>
      </c>
      <c r="D2978" s="5"/>
      <c r="E2978" s="5"/>
      <c r="F2978" s="5"/>
      <c r="G2978" s="5"/>
      <c r="H2978" s="5"/>
      <c r="I2978" s="5"/>
      <c r="J2978" s="5"/>
      <c r="K2978" s="5"/>
      <c r="L2978" s="5"/>
      <c r="M2978" s="5"/>
      <c r="N2978" s="5"/>
      <c r="O2978" s="5"/>
      <c r="P2978" s="5"/>
      <c r="Q2978" s="5"/>
      <c r="R2978" s="5"/>
      <c r="S2978" s="5"/>
      <c r="T2978" s="5"/>
      <c r="U2978" s="5"/>
      <c r="V2978" s="5"/>
      <c r="W2978" s="5"/>
      <c r="X2978" s="5"/>
      <c r="Y2978" s="5"/>
      <c r="Z2978" s="5"/>
    </row>
    <row r="2979" spans="1:26" ht="15.6" x14ac:dyDescent="0.3">
      <c r="A2979" s="18" t="s">
        <v>3</v>
      </c>
      <c r="B2979" s="25" t="s">
        <v>2971</v>
      </c>
      <c r="C2979" s="2" t="str">
        <f ca="1">IFERROR(__xludf.DUMMYFUNCTION("GOOGLETRANSLATE(B2979, ""bn"", ""en"")"),"Followers of Jainism are faithfully aware of non-violence and the fruits of their actions, which help them achieve spiritual growth and peace.")</f>
        <v>Followers of Jainism are faithfully aware of non-violence and the fruits of their actions, which help them achieve spiritual growth and peace.</v>
      </c>
      <c r="D2979" s="5"/>
      <c r="E2979" s="5"/>
      <c r="F2979" s="5"/>
      <c r="G2979" s="5"/>
      <c r="H2979" s="5"/>
      <c r="I2979" s="5"/>
      <c r="J2979" s="5"/>
      <c r="K2979" s="5"/>
      <c r="L2979" s="5"/>
      <c r="M2979" s="5"/>
      <c r="N2979" s="5"/>
      <c r="O2979" s="5"/>
      <c r="P2979" s="5"/>
      <c r="Q2979" s="5"/>
      <c r="R2979" s="5"/>
      <c r="S2979" s="5"/>
      <c r="T2979" s="5"/>
      <c r="U2979" s="5"/>
      <c r="V2979" s="5"/>
      <c r="W2979" s="5"/>
      <c r="X2979" s="5"/>
      <c r="Y2979" s="5"/>
      <c r="Z2979" s="5"/>
    </row>
    <row r="2980" spans="1:26" ht="15.6" x14ac:dyDescent="0.3">
      <c r="A2980" s="18" t="s">
        <v>5</v>
      </c>
      <c r="B2980" s="24" t="s">
        <v>2972</v>
      </c>
      <c r="C2980" s="2" t="str">
        <f ca="1">IFERROR(__xludf.DUMMYFUNCTION("GOOGLETRANSLATE(B2980, ""bn"", ""en"")"),"In April 2021, 33 people were killed in an attack on a group of religious people.")</f>
        <v>In April 2021, 33 people were killed in an attack on a group of religious people.</v>
      </c>
      <c r="D2980" s="5"/>
      <c r="E2980" s="5"/>
      <c r="F2980" s="5"/>
      <c r="G2980" s="5"/>
      <c r="H2980" s="5"/>
      <c r="I2980" s="5"/>
      <c r="J2980" s="5"/>
      <c r="K2980" s="5"/>
      <c r="L2980" s="5"/>
      <c r="M2980" s="5"/>
      <c r="N2980" s="5"/>
      <c r="O2980" s="5"/>
      <c r="P2980" s="5"/>
      <c r="Q2980" s="5"/>
      <c r="R2980" s="5"/>
      <c r="S2980" s="5"/>
      <c r="T2980" s="5"/>
      <c r="U2980" s="5"/>
      <c r="V2980" s="5"/>
      <c r="W2980" s="5"/>
      <c r="X2980" s="5"/>
      <c r="Y2980" s="5"/>
      <c r="Z2980" s="5"/>
    </row>
    <row r="2981" spans="1:26" ht="15.6" x14ac:dyDescent="0.3">
      <c r="A2981" s="19" t="s">
        <v>23</v>
      </c>
      <c r="B2981" s="26" t="s">
        <v>2973</v>
      </c>
      <c r="C2981" s="2" t="str">
        <f ca="1">IFERROR(__xludf.DUMMYFUNCTION("GOOGLETRANSLATE(B2981, ""bn"", ""en"")"),"On December 25, a suicide bomb attack took place at the Qadiani shrine in Bagmara, Rajshahi, killing the attacker.")</f>
        <v>On December 25, a suicide bomb attack took place at the Qadiani shrine in Bagmara, Rajshahi, killing the attacker.</v>
      </c>
      <c r="D2981" s="7"/>
      <c r="E2981" s="7"/>
      <c r="F2981" s="7"/>
      <c r="G2981" s="7"/>
      <c r="H2981" s="5"/>
      <c r="I2981" s="5"/>
      <c r="J2981" s="5"/>
      <c r="K2981" s="5"/>
      <c r="L2981" s="5"/>
      <c r="M2981" s="5"/>
      <c r="N2981" s="5"/>
      <c r="O2981" s="5"/>
      <c r="P2981" s="5"/>
      <c r="Q2981" s="5"/>
      <c r="R2981" s="5"/>
      <c r="S2981" s="5"/>
      <c r="T2981" s="5"/>
      <c r="U2981" s="5"/>
      <c r="V2981" s="5"/>
      <c r="W2981" s="5"/>
      <c r="X2981" s="5"/>
      <c r="Y2981" s="5"/>
      <c r="Z2981" s="5"/>
    </row>
    <row r="2982" spans="1:26" ht="15.6" x14ac:dyDescent="0.3">
      <c r="A2982" s="18" t="s">
        <v>5</v>
      </c>
      <c r="B2982" s="24" t="s">
        <v>2974</v>
      </c>
      <c r="C2982" s="2" t="str">
        <f ca="1">IFERROR(__xludf.DUMMYFUNCTION("GOOGLETRANSLATE(B2982, ""bn"", ""en"")"),"A health worker was killed, 14 others were injured due to religious hatred.")</f>
        <v>A health worker was killed, 14 others were injured due to religious hatred.</v>
      </c>
      <c r="D2982" s="5"/>
      <c r="E2982" s="5"/>
      <c r="F2982" s="5"/>
      <c r="G2982" s="5"/>
      <c r="H2982" s="5"/>
      <c r="I2982" s="5"/>
      <c r="J2982" s="5"/>
      <c r="K2982" s="5"/>
      <c r="L2982" s="5"/>
      <c r="M2982" s="5"/>
      <c r="N2982" s="5"/>
      <c r="O2982" s="5"/>
      <c r="P2982" s="5"/>
      <c r="Q2982" s="5"/>
      <c r="R2982" s="5"/>
      <c r="S2982" s="5"/>
      <c r="T2982" s="5"/>
      <c r="U2982" s="5"/>
      <c r="V2982" s="5"/>
      <c r="W2982" s="5"/>
      <c r="X2982" s="5"/>
      <c r="Y2982" s="5"/>
      <c r="Z2982" s="5"/>
    </row>
    <row r="2983" spans="1:26" ht="15.6" x14ac:dyDescent="0.3">
      <c r="A2983" s="19" t="s">
        <v>8</v>
      </c>
      <c r="B2983" s="26" t="s">
        <v>2975</v>
      </c>
      <c r="C2983" s="2" t="str">
        <f ca="1">IFERROR(__xludf.DUMMYFUNCTION("GOOGLETRANSLATE(B2983, ""bn"", ""en"")"),"A short-lived state atheism was introduced in Bangladesh, which later became effective in various government institutions and revolutionary areas. At one particular time the suppression of religion and the promotion of atheism was strong.")</f>
        <v>A short-lived state atheism was introduced in Bangladesh, which later became effective in various government institutions and revolutionary areas. At one particular time the suppression of religion and the promotion of atheism was strong.</v>
      </c>
      <c r="D2983" s="7"/>
      <c r="E2983" s="7"/>
      <c r="F2983" s="7"/>
      <c r="G2983" s="7"/>
      <c r="H2983" s="7"/>
      <c r="I2983" s="7"/>
      <c r="J2983" s="7"/>
      <c r="K2983" s="7"/>
      <c r="L2983" s="7"/>
      <c r="M2983" s="7"/>
      <c r="N2983" s="7"/>
      <c r="O2983" s="5"/>
      <c r="P2983" s="5"/>
      <c r="Q2983" s="5"/>
      <c r="R2983" s="5"/>
      <c r="S2983" s="5"/>
      <c r="T2983" s="5"/>
      <c r="U2983" s="5"/>
      <c r="V2983" s="5"/>
      <c r="W2983" s="5"/>
      <c r="X2983" s="5"/>
      <c r="Y2983" s="5"/>
      <c r="Z2983" s="5"/>
    </row>
    <row r="2984" spans="1:26" ht="15.6" x14ac:dyDescent="0.3">
      <c r="A2984" s="18" t="s">
        <v>3</v>
      </c>
      <c r="B2984" s="25" t="s">
        <v>2976</v>
      </c>
      <c r="C2984" s="2" t="str">
        <f ca="1">IFERROR(__xludf.DUMMYFUNCTION("GOOGLETRANSLATE(B2984, ""bn"", ""en"")"),"Alhamdulillah, I wish you a good life by Allah, Amen, I love you for the sake of Allah, Inshallah, may Allah be merciful, guide those who do not want to understand the Holy Quran, O our Lord, have mercy, save us from the fire of hell, Amen Amen Amen, acce"&amp;"pt us as full believers, Amen Amen Amen.")</f>
        <v>Alhamdulillah, I wish you a good life by Allah, Amen, I love you for the sake of Allah, Inshallah, may Allah be merciful, guide those who do not want to understand the Holy Quran, O our Lord, have mercy, save us from the fire of hell, Amen Amen Amen, accept us as full believers, Amen Amen Amen.</v>
      </c>
      <c r="D2984" s="5"/>
      <c r="E2984" s="5"/>
      <c r="F2984" s="5"/>
      <c r="G2984" s="5"/>
      <c r="H2984" s="5"/>
      <c r="I2984" s="5"/>
      <c r="J2984" s="5"/>
      <c r="K2984" s="5"/>
      <c r="L2984" s="5"/>
      <c r="M2984" s="5"/>
      <c r="N2984" s="5"/>
      <c r="O2984" s="5"/>
      <c r="P2984" s="5"/>
      <c r="Q2984" s="5"/>
      <c r="R2984" s="5"/>
      <c r="S2984" s="5"/>
      <c r="T2984" s="5"/>
      <c r="U2984" s="5"/>
      <c r="V2984" s="5"/>
      <c r="W2984" s="5"/>
      <c r="X2984" s="5"/>
      <c r="Y2984" s="5"/>
      <c r="Z2984" s="5"/>
    </row>
    <row r="2985" spans="1:26" ht="15.6" x14ac:dyDescent="0.3">
      <c r="A2985" s="19" t="s">
        <v>23</v>
      </c>
      <c r="B2985" s="26" t="s">
        <v>2977</v>
      </c>
      <c r="C2985" s="2" t="str">
        <f ca="1">IFERROR(__xludf.DUMMYFUNCTION("GOOGLETRANSLATE(B2985, ""bn"", ""en"")"),"Qur'an is the life of Muslims, strongly condemn and protest against those who slander it. O Allah, save the Muslims.")</f>
        <v>Qur'an is the life of Muslims, strongly condemn and protest against those who slander it. O Allah, save the Muslims.</v>
      </c>
      <c r="D2985" s="7"/>
      <c r="E2985" s="7"/>
      <c r="F2985" s="7"/>
      <c r="G2985" s="7"/>
      <c r="H2985" s="7"/>
      <c r="I2985" s="7"/>
      <c r="J2985" s="5"/>
      <c r="K2985" s="5"/>
      <c r="L2985" s="5"/>
      <c r="M2985" s="5"/>
      <c r="N2985" s="5"/>
      <c r="O2985" s="5"/>
      <c r="P2985" s="5"/>
      <c r="Q2985" s="5"/>
      <c r="R2985" s="5"/>
      <c r="S2985" s="5"/>
      <c r="T2985" s="5"/>
      <c r="U2985" s="5"/>
      <c r="V2985" s="5"/>
      <c r="W2985" s="5"/>
      <c r="X2985" s="5"/>
      <c r="Y2985" s="5"/>
      <c r="Z2985" s="5"/>
    </row>
    <row r="2986" spans="1:26" ht="15.6" x14ac:dyDescent="0.3">
      <c r="A2986" s="18" t="s">
        <v>5</v>
      </c>
      <c r="B2986" s="24" t="s">
        <v>2978</v>
      </c>
      <c r="C2986" s="2" t="str">
        <f ca="1">IFERROR(__xludf.DUMMYFUNCTION("GOOGLETRANSLATE(B2986, ""bn"", ""en"")"),"In January 2017, a group of religious groups revoked the citizenship of minorities, resulting in 58 deaths from poverty and disease.")</f>
        <v>In January 2017, a group of religious groups revoked the citizenship of minorities, resulting in 58 deaths from poverty and disease.</v>
      </c>
      <c r="D2986" s="5"/>
      <c r="E2986" s="5"/>
      <c r="F2986" s="5"/>
      <c r="G2986" s="5"/>
      <c r="H2986" s="5"/>
      <c r="I2986" s="5"/>
      <c r="J2986" s="5"/>
      <c r="K2986" s="5"/>
      <c r="L2986" s="5"/>
      <c r="M2986" s="5"/>
      <c r="N2986" s="5"/>
      <c r="O2986" s="5"/>
      <c r="P2986" s="5"/>
      <c r="Q2986" s="5"/>
      <c r="R2986" s="5"/>
      <c r="S2986" s="5"/>
      <c r="T2986" s="5"/>
      <c r="U2986" s="5"/>
      <c r="V2986" s="5"/>
      <c r="W2986" s="5"/>
      <c r="X2986" s="5"/>
      <c r="Y2986" s="5"/>
      <c r="Z2986" s="5"/>
    </row>
    <row r="2987" spans="1:26" ht="15.6" x14ac:dyDescent="0.3">
      <c r="A2987" s="18" t="s">
        <v>23</v>
      </c>
      <c r="B2987" s="25" t="s">
        <v>2979</v>
      </c>
      <c r="C2987" s="2" t="str">
        <f ca="1">IFERROR(__xludf.DUMMYFUNCTION("GOOGLETRANSLATE(B2987, ""bn"", ""en"")"),"Those who slandered my beloved Prophet should be brought to justice immediately, and severely punished.")</f>
        <v>Those who slandered my beloved Prophet should be brought to justice immediately, and severely punished.</v>
      </c>
      <c r="D2987" s="2"/>
      <c r="E2987" s="2"/>
      <c r="F2987" s="2"/>
      <c r="G2987" s="2"/>
      <c r="H2987" s="3"/>
      <c r="I2987" s="3"/>
      <c r="J2987" s="3"/>
      <c r="K2987" s="3"/>
      <c r="L2987" s="3"/>
      <c r="M2987" s="3"/>
      <c r="N2987" s="3"/>
      <c r="O2987" s="3"/>
      <c r="P2987" s="3"/>
      <c r="Q2987" s="3"/>
      <c r="R2987" s="3"/>
      <c r="S2987" s="3"/>
      <c r="T2987" s="3"/>
      <c r="U2987" s="3"/>
      <c r="V2987" s="3"/>
      <c r="W2987" s="3"/>
      <c r="X2987" s="3"/>
      <c r="Y2987" s="3"/>
      <c r="Z2987" s="3"/>
    </row>
    <row r="2988" spans="1:26" ht="15.6" x14ac:dyDescent="0.3">
      <c r="A2988" s="18" t="s">
        <v>23</v>
      </c>
      <c r="B2988" s="24" t="s">
        <v>802</v>
      </c>
      <c r="C2988" s="2" t="str">
        <f ca="1">IFERROR(__xludf.DUMMYFUNCTION("GOOGLETRANSLATE(B2988, ""bn"", ""en"")"),"Some members of the Buddhist community are creating disharmony in the society by making derogatory comments against other religions.")</f>
        <v>Some members of the Buddhist community are creating disharmony in the society by making derogatory comments against other religions.</v>
      </c>
      <c r="D2988" s="5"/>
      <c r="E2988" s="5"/>
      <c r="F2988" s="5"/>
      <c r="G2988" s="5"/>
      <c r="H2988" s="5"/>
      <c r="I2988" s="5"/>
      <c r="J2988" s="5"/>
      <c r="K2988" s="5"/>
      <c r="L2988" s="5"/>
      <c r="M2988" s="5"/>
      <c r="N2988" s="5"/>
      <c r="O2988" s="5"/>
      <c r="P2988" s="5"/>
      <c r="Q2988" s="5"/>
      <c r="R2988" s="5"/>
      <c r="S2988" s="5"/>
      <c r="T2988" s="5"/>
      <c r="U2988" s="5"/>
      <c r="V2988" s="5"/>
      <c r="W2988" s="5"/>
      <c r="X2988" s="5"/>
      <c r="Y2988" s="5"/>
      <c r="Z2988" s="5"/>
    </row>
    <row r="2989" spans="1:26" ht="15.6" x14ac:dyDescent="0.3">
      <c r="A2989" s="19" t="s">
        <v>8</v>
      </c>
      <c r="B2989" s="26" t="s">
        <v>2980</v>
      </c>
      <c r="C2989" s="2" t="str">
        <f ca="1">IFERROR(__xludf.DUMMYFUNCTION("GOOGLETRANSLATE(B2989, ""bn"", ""en"")"),"On October 12, a communal attack was reported during the Aarti at Karunamayi Kalibari Puja Mandap in Chittagong's Chawkbazar area where one of the perpetrators was caught and handed over to the police.")</f>
        <v>On October 12, a communal attack was reported during the Aarti at Karunamayi Kalibari Puja Mandap in Chittagong's Chawkbazar area where one of the perpetrators was caught and handed over to the police.</v>
      </c>
      <c r="D2989" s="5"/>
      <c r="E2989" s="5"/>
      <c r="F2989" s="5"/>
      <c r="G2989" s="5"/>
      <c r="H2989" s="5"/>
      <c r="I2989" s="5"/>
      <c r="J2989" s="5"/>
      <c r="K2989" s="5"/>
      <c r="L2989" s="5"/>
      <c r="M2989" s="5"/>
      <c r="N2989" s="5"/>
      <c r="O2989" s="5"/>
      <c r="P2989" s="5"/>
      <c r="Q2989" s="5"/>
      <c r="R2989" s="5"/>
      <c r="S2989" s="5"/>
      <c r="T2989" s="5"/>
      <c r="U2989" s="5"/>
      <c r="V2989" s="5"/>
      <c r="W2989" s="5"/>
      <c r="X2989" s="5"/>
      <c r="Y2989" s="5"/>
      <c r="Z2989" s="5"/>
    </row>
    <row r="2990" spans="1:26" ht="15.6" x14ac:dyDescent="0.3">
      <c r="A2990" s="18" t="s">
        <v>23</v>
      </c>
      <c r="B2990" s="25" t="s">
        <v>2981</v>
      </c>
      <c r="C2990" s="2" t="str">
        <f ca="1">IFERROR(__xludf.DUMMYFUNCTION("GOOGLETRANSLATE(B2990, ""bn"", ""en"")"),"Just as communal violence, the controversial citizenship law and anti-Muslim activities have angered and alarmed the common people of this country, the silence of our government on these issues has also angered the people.")</f>
        <v>Just as communal violence, the controversial citizenship law and anti-Muslim activities have angered and alarmed the common people of this country, the silence of our government on these issues has also angered the people.</v>
      </c>
      <c r="D2990" s="6"/>
      <c r="E2990" s="6"/>
      <c r="F2990" s="2"/>
      <c r="G2990" s="2"/>
      <c r="H2990" s="5"/>
      <c r="I2990" s="5"/>
      <c r="J2990" s="5"/>
      <c r="K2990" s="5"/>
      <c r="L2990" s="5"/>
      <c r="M2990" s="5"/>
      <c r="N2990" s="5"/>
      <c r="O2990" s="5"/>
      <c r="P2990" s="5"/>
      <c r="Q2990" s="5"/>
      <c r="R2990" s="5"/>
      <c r="S2990" s="5"/>
      <c r="T2990" s="5"/>
      <c r="U2990" s="5"/>
      <c r="V2990" s="5"/>
      <c r="W2990" s="5"/>
      <c r="X2990" s="5"/>
      <c r="Y2990" s="5"/>
      <c r="Z2990" s="5"/>
    </row>
    <row r="2991" spans="1:26" ht="15.6" x14ac:dyDescent="0.3">
      <c r="A2991" s="18" t="s">
        <v>5</v>
      </c>
      <c r="B2991" s="25" t="s">
        <v>2982</v>
      </c>
      <c r="C2991" s="2" t="str">
        <f ca="1">IFERROR(__xludf.DUMMYFUNCTION("GOOGLETRANSLATE(B2991, ""bn"", ""en"")"),"They started killing Hindus mercilessly and forcibly converted Hindu men and women to Islam. The sacred images of the Hindu community were broken and the Hindu temples were completely destroyed.")</f>
        <v>They started killing Hindus mercilessly and forcibly converted Hindu men and women to Islam. The sacred images of the Hindu community were broken and the Hindu temples were completely destroyed.</v>
      </c>
      <c r="D2991" s="6"/>
      <c r="E2991" s="6"/>
      <c r="F2991" s="2"/>
      <c r="G2991" s="2"/>
      <c r="H2991" s="5"/>
      <c r="I2991" s="5"/>
      <c r="J2991" s="5"/>
      <c r="K2991" s="5"/>
      <c r="L2991" s="5"/>
      <c r="M2991" s="5"/>
      <c r="N2991" s="5"/>
      <c r="O2991" s="5"/>
      <c r="P2991" s="5"/>
      <c r="Q2991" s="5"/>
      <c r="R2991" s="5"/>
      <c r="S2991" s="5"/>
      <c r="T2991" s="5"/>
      <c r="U2991" s="5"/>
      <c r="V2991" s="5"/>
      <c r="W2991" s="5"/>
      <c r="X2991" s="5"/>
      <c r="Y2991" s="5"/>
      <c r="Z2991" s="5"/>
    </row>
    <row r="2992" spans="1:26" ht="15.6" x14ac:dyDescent="0.3">
      <c r="A2992" s="18" t="s">
        <v>5</v>
      </c>
      <c r="B2992" s="24" t="s">
        <v>2983</v>
      </c>
      <c r="C2992" s="2" t="str">
        <f ca="1">IFERROR(__xludf.DUMMYFUNCTION("GOOGLETRANSLATE(B2992, ""bn"", ""en"")"),"A woman was gang-raped and killed on religious grounds, 11 people were killed during the protest.")</f>
        <v>A woman was gang-raped and killed on religious grounds, 11 people were killed during the protest.</v>
      </c>
      <c r="D2992" s="5"/>
      <c r="E2992" s="5"/>
      <c r="F2992" s="5"/>
      <c r="G2992" s="5"/>
      <c r="H2992" s="5"/>
      <c r="I2992" s="5"/>
      <c r="J2992" s="5"/>
      <c r="K2992" s="5"/>
      <c r="L2992" s="5"/>
      <c r="M2992" s="5"/>
      <c r="N2992" s="5"/>
      <c r="O2992" s="5"/>
      <c r="P2992" s="5"/>
      <c r="Q2992" s="5"/>
      <c r="R2992" s="5"/>
      <c r="S2992" s="5"/>
      <c r="T2992" s="5"/>
      <c r="U2992" s="5"/>
      <c r="V2992" s="5"/>
      <c r="W2992" s="5"/>
      <c r="X2992" s="5"/>
      <c r="Y2992" s="5"/>
      <c r="Z2992" s="5"/>
    </row>
    <row r="2993" spans="1:26" ht="15.6" x14ac:dyDescent="0.3">
      <c r="A2993" s="18" t="s">
        <v>3</v>
      </c>
      <c r="B2993" s="25" t="s">
        <v>2984</v>
      </c>
      <c r="C2993" s="2" t="str">
        <f ca="1">IFERROR(__xludf.DUMMYFUNCTION("GOOGLETRANSLATE(B2993, ""bn"", ""en"")"),"All animals are given equal respect in Hinduism, which exemplifies the path of love and kindness towards animals.")</f>
        <v>All animals are given equal respect in Hinduism, which exemplifies the path of love and kindness towards animals.</v>
      </c>
      <c r="D2993" s="5"/>
      <c r="E2993" s="5"/>
      <c r="F2993" s="5"/>
      <c r="G2993" s="5"/>
      <c r="H2993" s="5"/>
      <c r="I2993" s="5"/>
      <c r="J2993" s="5"/>
      <c r="K2993" s="5"/>
      <c r="L2993" s="5"/>
      <c r="M2993" s="5"/>
      <c r="N2993" s="5"/>
      <c r="O2993" s="5"/>
      <c r="P2993" s="5"/>
      <c r="Q2993" s="5"/>
      <c r="R2993" s="5"/>
      <c r="S2993" s="5"/>
      <c r="T2993" s="5"/>
      <c r="U2993" s="5"/>
      <c r="V2993" s="5"/>
      <c r="W2993" s="5"/>
      <c r="X2993" s="5"/>
      <c r="Y2993" s="5"/>
      <c r="Z2993" s="5"/>
    </row>
    <row r="2994" spans="1:26" ht="15.6" x14ac:dyDescent="0.3">
      <c r="A2994" s="18" t="s">
        <v>5</v>
      </c>
      <c r="B2994" s="24" t="s">
        <v>2985</v>
      </c>
      <c r="C2994" s="2" t="str">
        <f ca="1">IFERROR(__xludf.DUMMYFUNCTION("GOOGLETRANSLATE(B2994, ""bn"", ""en"")"),"Minorities were cut off from electricity and water connections in one area in the name of religious segregation, resulting in 23 deaths.")</f>
        <v>Minorities were cut off from electricity and water connections in one area in the name of religious segregation, resulting in 23 deaths.</v>
      </c>
      <c r="D2994" s="5"/>
      <c r="E2994" s="5"/>
      <c r="F2994" s="5"/>
      <c r="G2994" s="5"/>
      <c r="H2994" s="5"/>
      <c r="I2994" s="5"/>
      <c r="J2994" s="5"/>
      <c r="K2994" s="5"/>
      <c r="L2994" s="5"/>
      <c r="M2994" s="5"/>
      <c r="N2994" s="5"/>
      <c r="O2994" s="5"/>
      <c r="P2994" s="5"/>
      <c r="Q2994" s="5"/>
      <c r="R2994" s="5"/>
      <c r="S2994" s="5"/>
      <c r="T2994" s="5"/>
      <c r="U2994" s="5"/>
      <c r="V2994" s="5"/>
      <c r="W2994" s="5"/>
      <c r="X2994" s="5"/>
      <c r="Y2994" s="5"/>
      <c r="Z2994" s="5"/>
    </row>
    <row r="2995" spans="1:26" ht="15.6" x14ac:dyDescent="0.3">
      <c r="A2995" s="18" t="s">
        <v>5</v>
      </c>
      <c r="B2995" s="24" t="s">
        <v>2986</v>
      </c>
      <c r="C2995" s="2" t="str">
        <f ca="1">IFERROR(__xludf.DUMMYFUNCTION("GOOGLETRANSLATE(B2995, ""bn"", ""en"")"),"The playing of religious songs at a public meeting led to clashes, which left at least 30 people dead and many women raped.")</f>
        <v>The playing of religious songs at a public meeting led to clashes, which left at least 30 people dead and many women raped.</v>
      </c>
      <c r="D2995" s="5"/>
      <c r="E2995" s="5"/>
      <c r="F2995" s="5"/>
      <c r="G2995" s="5"/>
      <c r="H2995" s="5"/>
      <c r="I2995" s="5"/>
      <c r="J2995" s="5"/>
      <c r="K2995" s="5"/>
      <c r="L2995" s="5"/>
      <c r="M2995" s="5"/>
      <c r="N2995" s="5"/>
      <c r="O2995" s="5"/>
      <c r="P2995" s="5"/>
      <c r="Q2995" s="5"/>
      <c r="R2995" s="5"/>
      <c r="S2995" s="5"/>
      <c r="T2995" s="5"/>
      <c r="U2995" s="5"/>
      <c r="V2995" s="5"/>
      <c r="W2995" s="5"/>
      <c r="X2995" s="5"/>
      <c r="Y2995" s="5"/>
      <c r="Z2995" s="5"/>
    </row>
    <row r="2996" spans="1:26" ht="15.6" x14ac:dyDescent="0.3">
      <c r="A2996" s="18" t="s">
        <v>8</v>
      </c>
      <c r="B2996" s="25" t="s">
        <v>2987</v>
      </c>
      <c r="C2996" s="2" t="str">
        <f ca="1">IFERROR(__xludf.DUMMYFUNCTION("GOOGLETRANSLATE(B2996, ""bn"", ""en"")"),"Muslims beat families and looted houses, broke holy pictures and idols, converted and attacked Ajmatpur, Daspara, Nasianji and Maheshpur.")</f>
        <v>Muslims beat families and looted houses, broke holy pictures and idols, converted and attacked Ajmatpur, Daspara, Nasianji and Maheshpur.</v>
      </c>
      <c r="D2996" s="2"/>
      <c r="E2996" s="2"/>
      <c r="F2996" s="2"/>
      <c r="G2996" s="2"/>
      <c r="H2996" s="3"/>
      <c r="I2996" s="3"/>
      <c r="J2996" s="3"/>
      <c r="K2996" s="3"/>
      <c r="L2996" s="3"/>
      <c r="M2996" s="3"/>
      <c r="N2996" s="3"/>
      <c r="O2996" s="3"/>
      <c r="P2996" s="3"/>
      <c r="Q2996" s="3"/>
      <c r="R2996" s="3"/>
      <c r="S2996" s="3"/>
      <c r="T2996" s="3"/>
      <c r="U2996" s="3"/>
      <c r="V2996" s="3"/>
      <c r="W2996" s="3"/>
      <c r="X2996" s="3"/>
      <c r="Y2996" s="3"/>
      <c r="Z2996" s="3"/>
    </row>
    <row r="2997" spans="1:26" ht="15.6" x14ac:dyDescent="0.3">
      <c r="A2997" s="19" t="s">
        <v>3</v>
      </c>
      <c r="B2997" s="26" t="s">
        <v>2988</v>
      </c>
      <c r="C2997" s="2" t="str">
        <f ca="1">IFERROR(__xludf.DUMMYFUNCTION("GOOGLETRANSLATE(B2997, ""bn"", ""en"")"),"A seventeenth-century traveler described women being buried with their dead husbands on the coast of Karmandal, with dancing at the cremation ceremony.")</f>
        <v>A seventeenth-century traveler described women being buried with their dead husbands on the coast of Karmandal, with dancing at the cremation ceremony.</v>
      </c>
      <c r="D2997" s="7"/>
      <c r="E2997" s="7"/>
      <c r="F2997" s="7"/>
      <c r="G2997" s="7"/>
      <c r="H2997" s="7"/>
      <c r="I2997" s="7"/>
      <c r="J2997" s="5"/>
      <c r="K2997" s="5"/>
      <c r="L2997" s="5"/>
      <c r="M2997" s="5"/>
      <c r="N2997" s="5"/>
      <c r="O2997" s="5"/>
      <c r="P2997" s="5"/>
      <c r="Q2997" s="5"/>
      <c r="R2997" s="5"/>
      <c r="S2997" s="5"/>
      <c r="T2997" s="5"/>
      <c r="U2997" s="5"/>
      <c r="V2997" s="5"/>
      <c r="W2997" s="5"/>
      <c r="X2997" s="5"/>
      <c r="Y2997" s="5"/>
      <c r="Z2997" s="5"/>
    </row>
    <row r="2998" spans="1:26" ht="15.6" x14ac:dyDescent="0.3">
      <c r="A2998" s="19" t="s">
        <v>5</v>
      </c>
      <c r="B2998" s="26" t="s">
        <v>2989</v>
      </c>
      <c r="C2998" s="2" t="str">
        <f ca="1">IFERROR(__xludf.DUMMYFUNCTION("GOOGLETRANSLATE(B2998, ""bn"", ""en"")"),"Muslims will brutally kill Hindu religious minority citizens")</f>
        <v>Muslims will brutally kill Hindu religious minority citizens</v>
      </c>
      <c r="D2998" s="5"/>
      <c r="E2998" s="5"/>
      <c r="F2998" s="5"/>
      <c r="G2998" s="5"/>
      <c r="H2998" s="5"/>
      <c r="I2998" s="5"/>
      <c r="J2998" s="5"/>
      <c r="K2998" s="5"/>
      <c r="L2998" s="5"/>
      <c r="M2998" s="5"/>
      <c r="N2998" s="5"/>
      <c r="O2998" s="5"/>
      <c r="P2998" s="5"/>
      <c r="Q2998" s="5"/>
      <c r="R2998" s="5"/>
      <c r="S2998" s="5"/>
      <c r="T2998" s="5"/>
      <c r="U2998" s="5"/>
      <c r="V2998" s="5"/>
      <c r="W2998" s="5"/>
      <c r="X2998" s="5"/>
      <c r="Y2998" s="5"/>
      <c r="Z2998" s="5"/>
    </row>
    <row r="2999" spans="1:26" ht="15.6" x14ac:dyDescent="0.3">
      <c r="A2999" s="19" t="s">
        <v>23</v>
      </c>
      <c r="B2999" s="26" t="s">
        <v>2990</v>
      </c>
      <c r="C2999" s="2" t="str">
        <f ca="1">IFERROR(__xludf.DUMMYFUNCTION("GOOGLETRANSLATE(B2999, ""bn"", ""en"")"),"Allah, you see all oppression, there is no way except your mercy, you can end all these oppressors.")</f>
        <v>Allah, you see all oppression, there is no way except your mercy, you can end all these oppressors.</v>
      </c>
      <c r="D2999" s="5"/>
      <c r="E2999" s="5"/>
      <c r="F2999" s="5"/>
      <c r="G2999" s="5"/>
      <c r="H2999" s="5"/>
      <c r="I2999" s="5"/>
      <c r="J2999" s="5"/>
      <c r="K2999" s="5"/>
      <c r="L2999" s="5"/>
      <c r="M2999" s="5"/>
      <c r="N2999" s="5"/>
      <c r="O2999" s="5"/>
      <c r="P2999" s="5"/>
      <c r="Q2999" s="5"/>
      <c r="R2999" s="5"/>
      <c r="S2999" s="5"/>
      <c r="T2999" s="5"/>
      <c r="U2999" s="5"/>
      <c r="V2999" s="5"/>
      <c r="W2999" s="5"/>
      <c r="X2999" s="5"/>
      <c r="Y2999" s="5"/>
      <c r="Z2999" s="5"/>
    </row>
    <row r="3000" spans="1:26" ht="15.6" x14ac:dyDescent="0.3">
      <c r="A3000" s="18" t="s">
        <v>23</v>
      </c>
      <c r="B3000" s="25" t="s">
        <v>2991</v>
      </c>
      <c r="C3000" s="2" t="str">
        <f ca="1">IFERROR(__xludf.DUMMYFUNCTION("GOOGLETRANSLATE(B3000, ""bn"", ""en"")"),"Condemnation expressed for bribery of Tallasi and monks in Buddhist monastery in Khagrachari")</f>
        <v>Condemnation expressed for bribery of Tallasi and monks in Buddhist monastery in Khagrachari</v>
      </c>
      <c r="D3000" s="6"/>
      <c r="E3000" s="2"/>
      <c r="F3000" s="2"/>
      <c r="G3000" s="2"/>
      <c r="H3000" s="3"/>
      <c r="I3000" s="3"/>
      <c r="J3000" s="3"/>
      <c r="K3000" s="3"/>
      <c r="L3000" s="3"/>
      <c r="M3000" s="3"/>
      <c r="N3000" s="3"/>
      <c r="O3000" s="3"/>
      <c r="P3000" s="3"/>
      <c r="Q3000" s="3"/>
      <c r="R3000" s="3"/>
      <c r="S3000" s="3"/>
      <c r="T3000" s="3"/>
      <c r="U3000" s="3"/>
      <c r="V3000" s="3"/>
      <c r="W3000" s="3"/>
      <c r="X3000" s="3"/>
      <c r="Y3000" s="3"/>
      <c r="Z3000" s="3"/>
    </row>
    <row r="3001" spans="1:26" ht="15.6" x14ac:dyDescent="0.3">
      <c r="A3001" s="18" t="s">
        <v>8</v>
      </c>
      <c r="B3001" s="24" t="s">
        <v>2992</v>
      </c>
      <c r="C3001" s="2" t="str">
        <f ca="1">IFERROR(__xludf.DUMMYFUNCTION("GOOGLETRANSLATE(B3001, ""bn"", ""en"")"),"The main gate of a Mansa temple in Patuakhali was broken and the faces of the idols inside were mutilated.")</f>
        <v>The main gate of a Mansa temple in Patuakhali was broken and the faces of the idols inside were mutilated.</v>
      </c>
      <c r="D3001" s="5"/>
      <c r="E3001" s="5"/>
      <c r="F3001" s="5"/>
      <c r="G3001" s="5"/>
      <c r="H3001" s="5"/>
      <c r="I3001" s="5"/>
      <c r="J3001" s="5"/>
      <c r="K3001" s="5"/>
      <c r="L3001" s="5"/>
      <c r="M3001" s="5"/>
      <c r="N3001" s="5"/>
      <c r="O3001" s="5"/>
      <c r="P3001" s="5"/>
      <c r="Q3001" s="5"/>
      <c r="R3001" s="5"/>
      <c r="S3001" s="5"/>
      <c r="T3001" s="5"/>
      <c r="U3001" s="5"/>
      <c r="V3001" s="5"/>
      <c r="W3001" s="5"/>
      <c r="X3001" s="5"/>
      <c r="Y3001" s="5"/>
      <c r="Z3001" s="5"/>
    </row>
    <row r="3002" spans="1:26" ht="15.6" x14ac:dyDescent="0.3">
      <c r="A3002" s="19" t="s">
        <v>5</v>
      </c>
      <c r="B3002" s="26" t="s">
        <v>2993</v>
      </c>
      <c r="C3002" s="2" t="str">
        <f ca="1">IFERROR(__xludf.DUMMYFUNCTION("GOOGLETRANSLATE(B3002, ""bn"", ""en"")"),"It is heard that Mujib took to the streets with a dagger in his hand during the great massacre in Kolkata. So why is it any wonder that the disciple would join the riot that the Guru had started? But Mujib learned to kill Hindus in riots from his village.")</f>
        <v>It is heard that Mujib took to the streets with a dagger in his hand during the great massacre in Kolkata. So why is it any wonder that the disciple would join the riot that the Guru had started? But Mujib learned to kill Hindus in riots from his village.</v>
      </c>
      <c r="D3002" s="7"/>
      <c r="E3002" s="7"/>
      <c r="F3002" s="7"/>
      <c r="G3002" s="2"/>
      <c r="H3002" s="3"/>
      <c r="I3002" s="3"/>
      <c r="J3002" s="3"/>
      <c r="K3002" s="3"/>
      <c r="L3002" s="3"/>
      <c r="M3002" s="3"/>
      <c r="N3002" s="3"/>
      <c r="O3002" s="3"/>
      <c r="P3002" s="3"/>
      <c r="Q3002" s="3"/>
      <c r="R3002" s="3"/>
      <c r="S3002" s="3"/>
      <c r="T3002" s="3"/>
      <c r="U3002" s="3"/>
      <c r="V3002" s="3"/>
      <c r="W3002" s="3"/>
      <c r="X3002" s="3"/>
      <c r="Y3002" s="3"/>
      <c r="Z3002" s="3"/>
    </row>
    <row r="3003" spans="1:26" ht="15.6" x14ac:dyDescent="0.3">
      <c r="A3003" s="19" t="s">
        <v>5</v>
      </c>
      <c r="B3003" s="26" t="s">
        <v>2994</v>
      </c>
      <c r="C3003" s="2" t="str">
        <f ca="1">IFERROR(__xludf.DUMMYFUNCTION("GOOGLETRANSLATE(B3003, ""bn"", ""en"")"),"Innocent people have been killed because of their religious identity, which indicates moral decay.")</f>
        <v>Innocent people have been killed because of their religious identity, which indicates moral decay.</v>
      </c>
      <c r="D3003" s="7"/>
      <c r="E3003" s="7"/>
      <c r="F3003" s="5"/>
      <c r="G3003" s="5"/>
      <c r="H3003" s="5"/>
      <c r="I3003" s="5"/>
      <c r="J3003" s="5"/>
      <c r="K3003" s="5"/>
      <c r="L3003" s="5"/>
      <c r="M3003" s="5"/>
      <c r="N3003" s="5"/>
      <c r="O3003" s="5"/>
      <c r="P3003" s="5"/>
      <c r="Q3003" s="5"/>
      <c r="R3003" s="5"/>
      <c r="S3003" s="5"/>
      <c r="T3003" s="5"/>
      <c r="U3003" s="5"/>
      <c r="V3003" s="5"/>
      <c r="W3003" s="5"/>
      <c r="X3003" s="5"/>
      <c r="Y3003" s="5"/>
      <c r="Z3003" s="5"/>
    </row>
    <row r="3004" spans="1:26" ht="15.6" x14ac:dyDescent="0.3">
      <c r="A3004" s="18" t="s">
        <v>3</v>
      </c>
      <c r="B3004" s="25" t="s">
        <v>2995</v>
      </c>
      <c r="C3004" s="2" t="str">
        <f ca="1">IFERROR(__xludf.DUMMYFUNCTION("GOOGLETRANSLATE(B3004, ""bn"", ""en"")"),"I often hear the description of these heavenly people, and I am overwhelmed! Great God has rake for us! Give Ahmad the right way to live his life! amen")</f>
        <v>I often hear the description of these heavenly people, and I am overwhelmed! Great God has rake for us! Give Ahmad the right way to live his life! amen</v>
      </c>
      <c r="D3004" s="5"/>
      <c r="E3004" s="5"/>
      <c r="F3004" s="5"/>
      <c r="G3004" s="5"/>
      <c r="H3004" s="5"/>
      <c r="I3004" s="5"/>
      <c r="J3004" s="5"/>
      <c r="K3004" s="5"/>
      <c r="L3004" s="5"/>
      <c r="M3004" s="5"/>
      <c r="N3004" s="5"/>
      <c r="O3004" s="5"/>
      <c r="P3004" s="5"/>
      <c r="Q3004" s="5"/>
      <c r="R3004" s="5"/>
      <c r="S3004" s="5"/>
      <c r="T3004" s="5"/>
      <c r="U3004" s="5"/>
      <c r="V3004" s="5"/>
      <c r="W3004" s="5"/>
      <c r="X3004" s="5"/>
      <c r="Y3004" s="5"/>
      <c r="Z3004" s="5"/>
    </row>
    <row r="3005" spans="1:26" ht="15.6" x14ac:dyDescent="0.3">
      <c r="A3005" s="19" t="s">
        <v>3</v>
      </c>
      <c r="B3005" s="26" t="s">
        <v>2996</v>
      </c>
      <c r="C3005" s="2" t="str">
        <f ca="1">IFERROR(__xludf.DUMMYFUNCTION("GOOGLETRANSLATE(B3005, ""bn"", ""en"")"),"I want to witness Allah's judgment on those inhuman rulers.")</f>
        <v>I want to witness Allah's judgment on those inhuman rulers.</v>
      </c>
      <c r="D3005" s="5"/>
      <c r="E3005" s="5"/>
      <c r="F3005" s="5"/>
      <c r="G3005" s="5"/>
      <c r="H3005" s="5"/>
      <c r="I3005" s="5"/>
      <c r="J3005" s="5"/>
      <c r="K3005" s="5"/>
      <c r="L3005" s="5"/>
      <c r="M3005" s="5"/>
      <c r="N3005" s="5"/>
      <c r="O3005" s="5"/>
      <c r="P3005" s="5"/>
      <c r="Q3005" s="5"/>
      <c r="R3005" s="5"/>
      <c r="S3005" s="5"/>
      <c r="T3005" s="5"/>
      <c r="U3005" s="5"/>
      <c r="V3005" s="5"/>
      <c r="W3005" s="5"/>
      <c r="X3005" s="5"/>
      <c r="Y3005" s="5"/>
      <c r="Z3005" s="5"/>
    </row>
    <row r="3006" spans="1:26" ht="15.6" x14ac:dyDescent="0.3">
      <c r="A3006" s="18" t="s">
        <v>23</v>
      </c>
      <c r="B3006" s="25" t="s">
        <v>2997</v>
      </c>
      <c r="C3006" s="2" t="str">
        <f ca="1">IFERROR(__xludf.DUMMYFUNCTION("GOOGLETRANSLATE(B3006, ""bn"", ""en"")"),"Attacking religious centers or places of worship of any minority community or any deviant or renegade faction of Islam is not permissible in any way.")</f>
        <v>Attacking religious centers or places of worship of any minority community or any deviant or renegade faction of Islam is not permissible in any way.</v>
      </c>
      <c r="D3006" s="2"/>
      <c r="E3006" s="2"/>
      <c r="F3006" s="2"/>
      <c r="G3006" s="2"/>
      <c r="H3006" s="3"/>
      <c r="I3006" s="3"/>
      <c r="J3006" s="3"/>
      <c r="K3006" s="3"/>
      <c r="L3006" s="3"/>
      <c r="M3006" s="3"/>
      <c r="N3006" s="3"/>
      <c r="O3006" s="3"/>
      <c r="P3006" s="3"/>
      <c r="Q3006" s="3"/>
      <c r="R3006" s="3"/>
      <c r="S3006" s="3"/>
      <c r="T3006" s="3"/>
      <c r="U3006" s="3"/>
      <c r="V3006" s="3"/>
      <c r="W3006" s="3"/>
      <c r="X3006" s="3"/>
      <c r="Y3006" s="3"/>
      <c r="Z3006" s="3"/>
    </row>
    <row r="3007" spans="1:26" ht="15.6" x14ac:dyDescent="0.3">
      <c r="A3007" s="19" t="s">
        <v>23</v>
      </c>
      <c r="B3007" s="26" t="s">
        <v>2998</v>
      </c>
      <c r="C3007" s="2" t="str">
        <f ca="1">IFERROR(__xludf.DUMMYFUNCTION("GOOGLETRANSLATE(B3007, ""bn"", ""en"")"),"I think Muslims should unite to protect the religious books and give a proper answer to those who attack the religion.")</f>
        <v>I think Muslims should unite to protect the religious books and give a proper answer to those who attack the religion.</v>
      </c>
      <c r="D3007" s="7"/>
      <c r="E3007" s="7"/>
      <c r="F3007" s="7"/>
      <c r="G3007" s="7"/>
      <c r="H3007" s="7"/>
      <c r="I3007" s="5"/>
      <c r="J3007" s="5"/>
      <c r="K3007" s="5"/>
      <c r="L3007" s="5"/>
      <c r="M3007" s="5"/>
      <c r="N3007" s="5"/>
      <c r="O3007" s="5"/>
      <c r="P3007" s="5"/>
      <c r="Q3007" s="5"/>
      <c r="R3007" s="5"/>
      <c r="S3007" s="5"/>
      <c r="T3007" s="5"/>
      <c r="U3007" s="5"/>
      <c r="V3007" s="5"/>
      <c r="W3007" s="5"/>
      <c r="X3007" s="5"/>
      <c r="Y3007" s="5"/>
      <c r="Z3007" s="5"/>
    </row>
    <row r="3008" spans="1:26" ht="15.6" x14ac:dyDescent="0.3">
      <c r="A3008" s="18" t="s">
        <v>5</v>
      </c>
      <c r="B3008" s="24" t="s">
        <v>2999</v>
      </c>
      <c r="C3008" s="2" t="str">
        <f ca="1">IFERROR(__xludf.DUMMYFUNCTION("GOOGLETRANSLATE(B3008, ""bn"", ""en"")"),"43 people lost their lives in religious riots in Barisal. The police failed to quell the violence, the government ordered to maintain peace and a sense of religious duty. Many families leave the village for security reasons.")</f>
        <v>43 people lost their lives in religious riots in Barisal. The police failed to quell the violence, the government ordered to maintain peace and a sense of religious duty. Many families leave the village for security reasons.</v>
      </c>
      <c r="D3008" s="5"/>
      <c r="E3008" s="5"/>
      <c r="F3008" s="5"/>
      <c r="G3008" s="5"/>
      <c r="H3008" s="5"/>
      <c r="I3008" s="5"/>
      <c r="J3008" s="5"/>
      <c r="K3008" s="5"/>
      <c r="L3008" s="5"/>
      <c r="M3008" s="5"/>
      <c r="N3008" s="5"/>
      <c r="O3008" s="5"/>
      <c r="P3008" s="5"/>
      <c r="Q3008" s="5"/>
      <c r="R3008" s="5"/>
      <c r="S3008" s="5"/>
      <c r="T3008" s="5"/>
      <c r="U3008" s="5"/>
      <c r="V3008" s="5"/>
      <c r="W3008" s="5"/>
      <c r="X3008" s="5"/>
      <c r="Y3008" s="5"/>
      <c r="Z3008" s="5"/>
    </row>
    <row r="3009" spans="1:26" ht="15.6" x14ac:dyDescent="0.3">
      <c r="A3009" s="19" t="s">
        <v>3</v>
      </c>
      <c r="B3009" s="26" t="s">
        <v>3000</v>
      </c>
      <c r="C3009" s="2" t="str">
        <f ca="1">IFERROR(__xludf.DUMMYFUNCTION("GOOGLETRANSLATE(B3009, ""bn"", ""en"")"),"Islam has long ago prescribed scientifically proven beneficial and harmful foods.")</f>
        <v>Islam has long ago prescribed scientifically proven beneficial and harmful foods.</v>
      </c>
      <c r="D3009" s="7"/>
      <c r="E3009" s="7"/>
      <c r="F3009" s="7"/>
      <c r="G3009" s="5"/>
      <c r="H3009" s="5"/>
      <c r="I3009" s="5"/>
      <c r="J3009" s="5"/>
      <c r="K3009" s="5"/>
      <c r="L3009" s="5"/>
      <c r="M3009" s="5"/>
      <c r="N3009" s="5"/>
      <c r="O3009" s="5"/>
      <c r="P3009" s="5"/>
      <c r="Q3009" s="5"/>
      <c r="R3009" s="5"/>
      <c r="S3009" s="5"/>
      <c r="T3009" s="5"/>
      <c r="U3009" s="5"/>
      <c r="V3009" s="5"/>
      <c r="W3009" s="5"/>
      <c r="X3009" s="5"/>
      <c r="Y3009" s="5"/>
      <c r="Z3009" s="5"/>
    </row>
    <row r="3010" spans="1:26" ht="15.6" x14ac:dyDescent="0.3">
      <c r="A3010" s="18" t="s">
        <v>23</v>
      </c>
      <c r="B3010" s="25" t="s">
        <v>3001</v>
      </c>
      <c r="C3010" s="2" t="str">
        <f ca="1">IFERROR(__xludf.DUMMYFUNCTION("GOOGLETRANSLATE(B3010, ""bn"", ""en"")"),"Those who are targeting the young generation are promoting misinterpretation of religion and brainwashing. Religion is business for them today.")</f>
        <v>Those who are targeting the young generation are promoting misinterpretation of religion and brainwashing. Religion is business for them today.</v>
      </c>
      <c r="D3010" s="2"/>
      <c r="E3010" s="2"/>
      <c r="F3010" s="2"/>
      <c r="G3010" s="2"/>
      <c r="H3010" s="3"/>
      <c r="I3010" s="3"/>
      <c r="J3010" s="3"/>
      <c r="K3010" s="3"/>
      <c r="L3010" s="3"/>
      <c r="M3010" s="3"/>
      <c r="N3010" s="3"/>
      <c r="O3010" s="3"/>
      <c r="P3010" s="3"/>
      <c r="Q3010" s="3"/>
      <c r="R3010" s="3"/>
      <c r="S3010" s="3"/>
      <c r="T3010" s="3"/>
      <c r="U3010" s="3"/>
      <c r="V3010" s="3"/>
      <c r="W3010" s="3"/>
      <c r="X3010" s="3"/>
      <c r="Y3010" s="3"/>
      <c r="Z3010" s="3"/>
    </row>
    <row r="3011" spans="1:26" ht="15.6" x14ac:dyDescent="0.3">
      <c r="A3011" s="18" t="s">
        <v>8</v>
      </c>
      <c r="B3011" s="25" t="s">
        <v>3002</v>
      </c>
      <c r="C3011" s="2" t="str">
        <f ca="1">IFERROR(__xludf.DUMMYFUNCTION("GOOGLETRANSLATE(B3011, ""bn"", ""en"")"),"Televisions, valuables, money were looted. More than half a hundred men and women were injured in this attack. Rasraj's house was vandalized. Shankar Sen, the serviceman of Gaur Temple in Mahakal Para, was seriously injured. Gaur temple priest Narendra Pr"&amp;"abhu was beaten up.")</f>
        <v>Televisions, valuables, money were looted. More than half a hundred men and women were injured in this attack. Rasraj's house was vandalized. Shankar Sen, the serviceman of Gaur Temple in Mahakal Para, was seriously injured. Gaur temple priest Narendra Prabhu was beaten up.</v>
      </c>
      <c r="D3011" s="5"/>
      <c r="E3011" s="5"/>
      <c r="F3011" s="5"/>
      <c r="G3011" s="5"/>
      <c r="H3011" s="5"/>
      <c r="I3011" s="5"/>
      <c r="J3011" s="5"/>
      <c r="K3011" s="5"/>
      <c r="L3011" s="5"/>
      <c r="M3011" s="5"/>
      <c r="N3011" s="5"/>
      <c r="O3011" s="5"/>
      <c r="P3011" s="5"/>
      <c r="Q3011" s="5"/>
      <c r="R3011" s="5"/>
      <c r="S3011" s="5"/>
      <c r="T3011" s="5"/>
      <c r="U3011" s="5"/>
      <c r="V3011" s="5"/>
      <c r="W3011" s="5"/>
      <c r="X3011" s="5"/>
      <c r="Y3011" s="5"/>
      <c r="Z3011" s="5"/>
    </row>
    <row r="3012" spans="1:26" ht="15.6" x14ac:dyDescent="0.3">
      <c r="A3012" s="19" t="s">
        <v>8</v>
      </c>
      <c r="B3012" s="26" t="s">
        <v>3003</v>
      </c>
      <c r="C3012" s="2" t="str">
        <f ca="1">IFERROR(__xludf.DUMMYFUNCTION("GOOGLETRANSLATE(B3012, ""bn"", ""en"")"),"The famous Hindu hostel 'Bani Bhavan' on Ishwar Das Lane was completely destroyed after the looting. The resident students fled to nearby shelters for their lives.")</f>
        <v>The famous Hindu hostel 'Bani Bhavan' on Ishwar Das Lane was completely destroyed after the looting. The resident students fled to nearby shelters for their lives.</v>
      </c>
      <c r="D3012" s="5"/>
      <c r="E3012" s="5"/>
      <c r="F3012" s="5"/>
      <c r="G3012" s="5"/>
      <c r="H3012" s="5"/>
      <c r="I3012" s="5"/>
      <c r="J3012" s="5"/>
      <c r="K3012" s="5"/>
      <c r="L3012" s="5"/>
      <c r="M3012" s="5"/>
      <c r="N3012" s="5"/>
      <c r="O3012" s="5"/>
      <c r="P3012" s="5"/>
      <c r="Q3012" s="5"/>
      <c r="R3012" s="5"/>
      <c r="S3012" s="5"/>
      <c r="T3012" s="5"/>
      <c r="U3012" s="5"/>
      <c r="V3012" s="5"/>
      <c r="W3012" s="5"/>
      <c r="X3012" s="5"/>
      <c r="Y3012" s="5"/>
      <c r="Z3012" s="5"/>
    </row>
    <row r="3013" spans="1:26" ht="15.6" x14ac:dyDescent="0.3">
      <c r="A3013" s="18" t="s">
        <v>5</v>
      </c>
      <c r="B3013" s="25" t="s">
        <v>3004</v>
      </c>
      <c r="C3013" s="2" t="str">
        <f ca="1">IFERROR(__xludf.DUMMYFUNCTION("GOOGLETRANSLATE(B3013, ""bn"", ""en"")"),"The bodies were counted and identified in front of the national media and brought back to Adityapur. Burial was done in front of Adityapur Government Primary School.")</f>
        <v>The bodies were counted and identified in front of the national media and brought back to Adityapur. Burial was done in front of Adityapur Government Primary School.</v>
      </c>
      <c r="D3013" s="2"/>
      <c r="E3013" s="2"/>
      <c r="F3013" s="2"/>
      <c r="G3013" s="2"/>
      <c r="H3013" s="5"/>
      <c r="I3013" s="5"/>
      <c r="J3013" s="5"/>
      <c r="K3013" s="5"/>
      <c r="L3013" s="5"/>
      <c r="M3013" s="5"/>
      <c r="N3013" s="5"/>
      <c r="O3013" s="5"/>
      <c r="P3013" s="5"/>
      <c r="Q3013" s="5"/>
      <c r="R3013" s="5"/>
      <c r="S3013" s="5"/>
      <c r="T3013" s="5"/>
      <c r="U3013" s="5"/>
      <c r="V3013" s="5"/>
      <c r="W3013" s="5"/>
      <c r="X3013" s="5"/>
      <c r="Y3013" s="5"/>
      <c r="Z3013" s="5"/>
    </row>
    <row r="3014" spans="1:26" ht="15.6" x14ac:dyDescent="0.3">
      <c r="A3014" s="18" t="s">
        <v>5</v>
      </c>
      <c r="B3014" s="24" t="s">
        <v>3005</v>
      </c>
      <c r="C3014" s="2" t="str">
        <f ca="1">IFERROR(__xludf.DUMMYFUNCTION("GOOGLETRANSLATE(B3014, ""bn"", ""en"")"),"In January 2019, a religious group imposed taxes on minorities and set fire to their homes for non-payment, killing at least 26 people.")</f>
        <v>In January 2019, a religious group imposed taxes on minorities and set fire to their homes for non-payment, killing at least 26 people.</v>
      </c>
      <c r="D3014" s="5"/>
      <c r="E3014" s="5"/>
      <c r="F3014" s="5"/>
      <c r="G3014" s="5"/>
      <c r="H3014" s="5"/>
      <c r="I3014" s="5"/>
      <c r="J3014" s="5"/>
      <c r="K3014" s="5"/>
      <c r="L3014" s="5"/>
      <c r="M3014" s="5"/>
      <c r="N3014" s="5"/>
      <c r="O3014" s="5"/>
      <c r="P3014" s="5"/>
      <c r="Q3014" s="5"/>
      <c r="R3014" s="5"/>
      <c r="S3014" s="5"/>
      <c r="T3014" s="5"/>
      <c r="U3014" s="5"/>
      <c r="V3014" s="5"/>
      <c r="W3014" s="5"/>
      <c r="X3014" s="5"/>
      <c r="Y3014" s="5"/>
      <c r="Z3014" s="5"/>
    </row>
    <row r="3015" spans="1:26" ht="15.6" x14ac:dyDescent="0.3">
      <c r="A3015" s="19" t="s">
        <v>8</v>
      </c>
      <c r="B3015" s="26" t="s">
        <v>3006</v>
      </c>
      <c r="C3015" s="2" t="str">
        <f ca="1">IFERROR(__xludf.DUMMYFUNCTION("GOOGLETRANSLATE(B3015, ""bn"", ""en"")"),"The walls of a newly built mosque in Kushtia were painted with marijuana and obscene images, causing tension among local worshippers.")</f>
        <v>The walls of a newly built mosque in Kushtia were painted with marijuana and obscene images, causing tension among local worshippers.</v>
      </c>
      <c r="D3015" s="5"/>
      <c r="E3015" s="5"/>
      <c r="F3015" s="5"/>
      <c r="G3015" s="5"/>
      <c r="H3015" s="5"/>
      <c r="I3015" s="5"/>
      <c r="J3015" s="5"/>
      <c r="K3015" s="5"/>
      <c r="L3015" s="5"/>
      <c r="M3015" s="5"/>
      <c r="N3015" s="5"/>
      <c r="O3015" s="5"/>
      <c r="P3015" s="5"/>
      <c r="Q3015" s="5"/>
      <c r="R3015" s="5"/>
      <c r="S3015" s="5"/>
      <c r="T3015" s="5"/>
      <c r="U3015" s="5"/>
      <c r="V3015" s="5"/>
      <c r="W3015" s="5"/>
      <c r="X3015" s="5"/>
      <c r="Y3015" s="5"/>
      <c r="Z3015" s="5"/>
    </row>
    <row r="3016" spans="1:26" ht="15.6" x14ac:dyDescent="0.3">
      <c r="A3016" s="18" t="s">
        <v>8</v>
      </c>
      <c r="B3016" s="25" t="s">
        <v>3007</v>
      </c>
      <c r="C3016" s="2" t="str">
        <f ca="1">IFERROR(__xludf.DUMMYFUNCTION("GOOGLETRANSLATE(B3016, ""bn"", ""en"")"),"In 2018, Buddhist extremist groups attacked and destroyed Muslim businesses, mosques and homes in some regions.")</f>
        <v>In 2018, Buddhist extremist groups attacked and destroyed Muslim businesses, mosques and homes in some regions.</v>
      </c>
      <c r="D3016" s="5"/>
      <c r="E3016" s="5"/>
      <c r="F3016" s="5"/>
      <c r="G3016" s="5"/>
      <c r="H3016" s="5"/>
      <c r="I3016" s="5"/>
      <c r="J3016" s="5"/>
      <c r="K3016" s="5"/>
      <c r="L3016" s="5"/>
      <c r="M3016" s="5"/>
      <c r="N3016" s="5"/>
      <c r="O3016" s="5"/>
      <c r="P3016" s="5"/>
      <c r="Q3016" s="5"/>
      <c r="R3016" s="5"/>
      <c r="S3016" s="5"/>
      <c r="T3016" s="5"/>
      <c r="U3016" s="5"/>
      <c r="V3016" s="5"/>
      <c r="W3016" s="5"/>
      <c r="X3016" s="5"/>
      <c r="Y3016" s="5"/>
      <c r="Z3016" s="5"/>
    </row>
    <row r="3017" spans="1:26" ht="15.6" x14ac:dyDescent="0.3">
      <c r="A3017" s="18" t="s">
        <v>5</v>
      </c>
      <c r="B3017" s="24" t="s">
        <v>3008</v>
      </c>
      <c r="C3017" s="2" t="str">
        <f ca="1">IFERROR(__xludf.DUMMYFUNCTION("GOOGLETRANSLATE(B3017, ""bn"", ""en"")"),"27 killed in sectarian clashes in Meherpur; There is extensive damage.")</f>
        <v>27 killed in sectarian clashes in Meherpur; There is extensive damage.</v>
      </c>
      <c r="D3017" s="5"/>
      <c r="E3017" s="5"/>
      <c r="F3017" s="5"/>
      <c r="G3017" s="5"/>
      <c r="H3017" s="5"/>
      <c r="I3017" s="5"/>
      <c r="J3017" s="5"/>
      <c r="K3017" s="5"/>
      <c r="L3017" s="5"/>
      <c r="M3017" s="5"/>
      <c r="N3017" s="5"/>
      <c r="O3017" s="5"/>
      <c r="P3017" s="5"/>
      <c r="Q3017" s="5"/>
      <c r="R3017" s="5"/>
      <c r="S3017" s="5"/>
      <c r="T3017" s="5"/>
      <c r="U3017" s="5"/>
      <c r="V3017" s="5"/>
      <c r="W3017" s="5"/>
      <c r="X3017" s="5"/>
      <c r="Y3017" s="5"/>
      <c r="Z3017" s="5"/>
    </row>
    <row r="3018" spans="1:26" ht="15.6" x14ac:dyDescent="0.3">
      <c r="A3018" s="18" t="s">
        <v>3</v>
      </c>
      <c r="B3018" s="25" t="s">
        <v>3009</v>
      </c>
      <c r="C3018" s="2" t="str">
        <f ca="1">IFERROR(__xludf.DUMMYFUNCTION("GOOGLETRANSLATE(B3018, ""bn"", ""en"")"),"According to Islamic tradition, Abraham was commanded by Allah to leave his (Abraham) wife Hagar and his infant son Ishmael alone in the desert of ancient Mecca.")</f>
        <v>According to Islamic tradition, Abraham was commanded by Allah to leave his (Abraham) wife Hagar and his infant son Ishmael alone in the desert of ancient Mecca.</v>
      </c>
      <c r="D3018" s="5"/>
      <c r="E3018" s="5"/>
      <c r="F3018" s="5"/>
      <c r="G3018" s="5"/>
      <c r="H3018" s="5"/>
      <c r="I3018" s="5"/>
      <c r="J3018" s="5"/>
      <c r="K3018" s="5"/>
      <c r="L3018" s="5"/>
      <c r="M3018" s="5"/>
      <c r="N3018" s="5"/>
      <c r="O3018" s="5"/>
      <c r="P3018" s="5"/>
      <c r="Q3018" s="5"/>
      <c r="R3018" s="5"/>
      <c r="S3018" s="5"/>
      <c r="T3018" s="5"/>
      <c r="U3018" s="5"/>
      <c r="V3018" s="5"/>
      <c r="W3018" s="5"/>
      <c r="X3018" s="5"/>
      <c r="Y3018" s="5"/>
      <c r="Z3018" s="5"/>
    </row>
    <row r="3019" spans="1:26" ht="15.6" x14ac:dyDescent="0.3">
      <c r="A3019" s="18" t="s">
        <v>3</v>
      </c>
      <c r="B3019" s="25" t="s">
        <v>3010</v>
      </c>
      <c r="C3019" s="2" t="str">
        <f ca="1">IFERROR(__xludf.DUMMYFUNCTION("GOOGLETRANSLATE(B3019, ""bn"", ""en"")"),"The main religious scriptures of the world talk about the monotheistic creator. And it is also said that Prophet Muhammad (pbuh) will come as the last prophet.")</f>
        <v>The main religious scriptures of the world talk about the monotheistic creator. And it is also said that Prophet Muhammad (pbuh) will come as the last prophet.</v>
      </c>
      <c r="D3019" s="5"/>
      <c r="E3019" s="5"/>
      <c r="F3019" s="5"/>
      <c r="G3019" s="5"/>
      <c r="H3019" s="5"/>
      <c r="I3019" s="5"/>
      <c r="J3019" s="5"/>
      <c r="K3019" s="5"/>
      <c r="L3019" s="5"/>
      <c r="M3019" s="5"/>
      <c r="N3019" s="5"/>
      <c r="O3019" s="5"/>
      <c r="P3019" s="5"/>
      <c r="Q3019" s="5"/>
      <c r="R3019" s="5"/>
      <c r="S3019" s="5"/>
      <c r="T3019" s="5"/>
      <c r="U3019" s="5"/>
      <c r="V3019" s="5"/>
      <c r="W3019" s="5"/>
      <c r="X3019" s="5"/>
      <c r="Y3019" s="5"/>
      <c r="Z3019" s="5"/>
    </row>
    <row r="3020" spans="1:26" ht="15.6" x14ac:dyDescent="0.3">
      <c r="A3020" s="18" t="s">
        <v>5</v>
      </c>
      <c r="B3020" s="25" t="s">
        <v>3011</v>
      </c>
      <c r="C3020" s="2" t="str">
        <f ca="1">IFERROR(__xludf.DUMMYFUNCTION("GOOGLETRANSLATE(B3020, ""bn"", ""en"")"),"Attack on Rangpur's Hindu village on charges of insulting religion on Facebook, 1 killed")</f>
        <v>Attack on Rangpur's Hindu village on charges of insulting religion on Facebook, 1 killed</v>
      </c>
      <c r="D3020" s="5"/>
      <c r="E3020" s="5"/>
      <c r="F3020" s="5"/>
      <c r="G3020" s="5"/>
      <c r="H3020" s="5"/>
      <c r="I3020" s="5"/>
      <c r="J3020" s="5"/>
      <c r="K3020" s="5"/>
      <c r="L3020" s="5"/>
      <c r="M3020" s="5"/>
      <c r="N3020" s="5"/>
      <c r="O3020" s="5"/>
      <c r="P3020" s="5"/>
      <c r="Q3020" s="5"/>
      <c r="R3020" s="5"/>
      <c r="S3020" s="5"/>
      <c r="T3020" s="5"/>
      <c r="U3020" s="5"/>
      <c r="V3020" s="5"/>
      <c r="W3020" s="5"/>
      <c r="X3020" s="5"/>
      <c r="Y3020" s="5"/>
      <c r="Z3020" s="5"/>
    </row>
    <row r="3021" spans="1:26" ht="15.6" x14ac:dyDescent="0.3">
      <c r="A3021" s="19" t="s">
        <v>23</v>
      </c>
      <c r="B3021" s="26" t="s">
        <v>3012</v>
      </c>
      <c r="C3021" s="2" t="str">
        <f ca="1">IFERROR(__xludf.DUMMYFUNCTION("GOOGLETRANSLATE(B3021, ""bn"", ""en"")"),"You don't even have the right to poke at the bad person's religion.")</f>
        <v>You don't even have the right to poke at the bad person's religion.</v>
      </c>
      <c r="D3021" s="5"/>
      <c r="E3021" s="5"/>
      <c r="F3021" s="5"/>
      <c r="G3021" s="5"/>
      <c r="H3021" s="5"/>
      <c r="I3021" s="5"/>
      <c r="J3021" s="5"/>
      <c r="K3021" s="5"/>
      <c r="L3021" s="5"/>
      <c r="M3021" s="5"/>
      <c r="N3021" s="5"/>
      <c r="O3021" s="5"/>
      <c r="P3021" s="5"/>
      <c r="Q3021" s="5"/>
      <c r="R3021" s="5"/>
      <c r="S3021" s="5"/>
      <c r="T3021" s="5"/>
      <c r="U3021" s="5"/>
      <c r="V3021" s="5"/>
      <c r="W3021" s="5"/>
      <c r="X3021" s="5"/>
      <c r="Y3021" s="5"/>
      <c r="Z3021" s="5"/>
    </row>
    <row r="3022" spans="1:26" ht="15.6" x14ac:dyDescent="0.3">
      <c r="A3022" s="19" t="s">
        <v>5</v>
      </c>
      <c r="B3022" s="26" t="s">
        <v>3013</v>
      </c>
      <c r="C3022" s="2" t="str">
        <f ca="1">IFERROR(__xludf.DUMMYFUNCTION("GOOGLETRANSLATE(B3022, ""bn"", ""en"")"),"In 1964, over a hundred people were killed and 438 injured in riots between Hindus and Muslims in Jhalkathi.")</f>
        <v>In 1964, over a hundred people were killed and 438 injured in riots between Hindus and Muslims in Jhalkathi.</v>
      </c>
      <c r="D3022" s="2"/>
      <c r="E3022" s="2"/>
      <c r="F3022" s="2"/>
      <c r="G3022" s="2"/>
      <c r="H3022" s="3"/>
      <c r="I3022" s="3"/>
      <c r="J3022" s="3"/>
      <c r="K3022" s="3"/>
      <c r="L3022" s="3"/>
      <c r="M3022" s="3"/>
      <c r="N3022" s="3"/>
      <c r="O3022" s="3"/>
      <c r="P3022" s="3"/>
      <c r="Q3022" s="3"/>
      <c r="R3022" s="3"/>
      <c r="S3022" s="3"/>
      <c r="T3022" s="3"/>
      <c r="U3022" s="3"/>
      <c r="V3022" s="3"/>
      <c r="W3022" s="3"/>
      <c r="X3022" s="3"/>
      <c r="Y3022" s="3"/>
      <c r="Z3022" s="3"/>
    </row>
    <row r="3023" spans="1:26" ht="15.6" x14ac:dyDescent="0.3">
      <c r="A3023" s="18" t="s">
        <v>8</v>
      </c>
      <c r="B3023" s="24" t="s">
        <v>3014</v>
      </c>
      <c r="C3023" s="2" t="str">
        <f ca="1">IFERROR(__xludf.DUMMYFUNCTION("GOOGLETRANSLATE(B3023, ""bn"", ""en"")"),"Idols erected on the occasion of Rasmela in Nilphamari were doused with petrol and set on fire.")</f>
        <v>Idols erected on the occasion of Rasmela in Nilphamari were doused with petrol and set on fire.</v>
      </c>
      <c r="D3023" s="5"/>
      <c r="E3023" s="5"/>
      <c r="F3023" s="5"/>
      <c r="G3023" s="5"/>
      <c r="H3023" s="5"/>
      <c r="I3023" s="5"/>
      <c r="J3023" s="5"/>
      <c r="K3023" s="5"/>
      <c r="L3023" s="5"/>
      <c r="M3023" s="5"/>
      <c r="N3023" s="5"/>
      <c r="O3023" s="5"/>
      <c r="P3023" s="5"/>
      <c r="Q3023" s="5"/>
      <c r="R3023" s="5"/>
      <c r="S3023" s="5"/>
      <c r="T3023" s="5"/>
      <c r="U3023" s="5"/>
      <c r="V3023" s="5"/>
      <c r="W3023" s="5"/>
      <c r="X3023" s="5"/>
      <c r="Y3023" s="5"/>
      <c r="Z3023" s="5"/>
    </row>
    <row r="3024" spans="1:26" ht="15.6" x14ac:dyDescent="0.3">
      <c r="A3024" s="19" t="s">
        <v>5</v>
      </c>
      <c r="B3024" s="26" t="s">
        <v>3015</v>
      </c>
      <c r="C3024" s="2" t="str">
        <f ca="1">IFERROR(__xludf.DUMMYFUNCTION("GOOGLETRANSLATE(B3024, ""bn"", ""en"")"),"On August 23, 2008, unidentified militants entered the ashram and brutally killed and stabbed 84-year-old Laxmanananda Saraswati.")</f>
        <v>On August 23, 2008, unidentified militants entered the ashram and brutally killed and stabbed 84-year-old Laxmanananda Saraswati.</v>
      </c>
      <c r="D3024" s="7"/>
      <c r="E3024" s="7"/>
      <c r="F3024" s="7"/>
      <c r="G3024" s="7"/>
      <c r="H3024" s="7"/>
      <c r="I3024" s="7"/>
      <c r="J3024" s="5"/>
      <c r="K3024" s="5"/>
      <c r="L3024" s="5"/>
      <c r="M3024" s="5"/>
      <c r="N3024" s="5"/>
      <c r="O3024" s="5"/>
      <c r="P3024" s="5"/>
      <c r="Q3024" s="5"/>
      <c r="R3024" s="5"/>
      <c r="S3024" s="5"/>
      <c r="T3024" s="5"/>
      <c r="U3024" s="5"/>
      <c r="V3024" s="5"/>
      <c r="W3024" s="5"/>
      <c r="X3024" s="5"/>
      <c r="Y3024" s="5"/>
      <c r="Z3024" s="5"/>
    </row>
    <row r="3025" spans="1:26" ht="15.6" x14ac:dyDescent="0.3">
      <c r="A3025" s="19" t="s">
        <v>8</v>
      </c>
      <c r="B3025" s="26" t="s">
        <v>3016</v>
      </c>
      <c r="C3025" s="2" t="str">
        <f ca="1">IFERROR(__xludf.DUMMYFUNCTION("GOOGLETRANSLATE(B3025, ""bn"", ""en"")"),"On Monday night, January 24, 2022, an idol vandalism incident took place at the home factory of Ranjan Kumar Pal, a professional idol artist of Agardani village in Satkhira Sadar Upazila.")</f>
        <v>On Monday night, January 24, 2022, an idol vandalism incident took place at the home factory of Ranjan Kumar Pal, a professional idol artist of Agardani village in Satkhira Sadar Upazila.</v>
      </c>
      <c r="D3025" s="5"/>
      <c r="E3025" s="5"/>
      <c r="F3025" s="5"/>
      <c r="G3025" s="5"/>
      <c r="H3025" s="5"/>
      <c r="I3025" s="5"/>
      <c r="J3025" s="5"/>
      <c r="K3025" s="5"/>
      <c r="L3025" s="5"/>
      <c r="M3025" s="5"/>
      <c r="N3025" s="5"/>
      <c r="O3025" s="5"/>
      <c r="P3025" s="5"/>
      <c r="Q3025" s="5"/>
      <c r="R3025" s="5"/>
      <c r="S3025" s="5"/>
      <c r="T3025" s="5"/>
      <c r="U3025" s="5"/>
      <c r="V3025" s="5"/>
      <c r="W3025" s="5"/>
      <c r="X3025" s="5"/>
      <c r="Y3025" s="5"/>
      <c r="Z3025" s="5"/>
    </row>
    <row r="3026" spans="1:26" ht="15.6" x14ac:dyDescent="0.3">
      <c r="A3026" s="18" t="s">
        <v>3</v>
      </c>
      <c r="B3026" s="25" t="s">
        <v>3017</v>
      </c>
      <c r="C3026" s="2" t="str">
        <f ca="1">IFERROR(__xludf.DUMMYFUNCTION("GOOGLETRANSLATE(B3026, ""bn"", ""en"")"),"What the big guys couldn't do, you did it by being heterosexual. Honestly, Dr. Yashoda Jeevan Debnath Dada is an extraordinary human being. He does not respect caste and religion, people of all religions are equal to Dada.")</f>
        <v>What the big guys couldn't do, you did it by being heterosexual. Honestly, Dr. Yashoda Jeevan Debnath Dada is an extraordinary human being. He does not respect caste and religion, people of all religions are equal to Dada.</v>
      </c>
      <c r="D3026" s="6"/>
      <c r="E3026" s="6"/>
      <c r="F3026" s="2"/>
      <c r="G3026" s="2"/>
      <c r="H3026" s="3"/>
      <c r="I3026" s="3"/>
      <c r="J3026" s="3"/>
      <c r="K3026" s="3"/>
      <c r="L3026" s="3"/>
      <c r="M3026" s="3"/>
      <c r="N3026" s="3"/>
      <c r="O3026" s="3"/>
      <c r="P3026" s="3"/>
      <c r="Q3026" s="3"/>
      <c r="R3026" s="3"/>
      <c r="S3026" s="3"/>
      <c r="T3026" s="3"/>
      <c r="U3026" s="3"/>
      <c r="V3026" s="3"/>
      <c r="W3026" s="3"/>
      <c r="X3026" s="3"/>
      <c r="Y3026" s="3"/>
      <c r="Z3026" s="3"/>
    </row>
    <row r="3027" spans="1:26" ht="15.6" x14ac:dyDescent="0.3">
      <c r="A3027" s="18" t="s">
        <v>23</v>
      </c>
      <c r="B3027" s="25" t="s">
        <v>3018</v>
      </c>
      <c r="C3027" s="2" t="str">
        <f ca="1">IFERROR(__xludf.DUMMYFUNCTION("GOOGLETRANSLATE(B3027, ""bn"", ""en"")"),"Those who insult the Qur'an are the enemies of Islam, they have no place in this world, their abode is Hell.")</f>
        <v>Those who insult the Qur'an are the enemies of Islam, they have no place in this world, their abode is Hell.</v>
      </c>
      <c r="D3027" s="5"/>
      <c r="E3027" s="5"/>
      <c r="F3027" s="5"/>
      <c r="G3027" s="5"/>
      <c r="H3027" s="5"/>
      <c r="I3027" s="5"/>
      <c r="J3027" s="5"/>
      <c r="K3027" s="5"/>
      <c r="L3027" s="5"/>
      <c r="M3027" s="5"/>
      <c r="N3027" s="5"/>
      <c r="O3027" s="5"/>
      <c r="P3027" s="5"/>
      <c r="Q3027" s="5"/>
      <c r="R3027" s="5"/>
      <c r="S3027" s="5"/>
      <c r="T3027" s="5"/>
      <c r="U3027" s="5"/>
      <c r="V3027" s="5"/>
      <c r="W3027" s="5"/>
      <c r="X3027" s="5"/>
      <c r="Y3027" s="5"/>
      <c r="Z3027" s="5"/>
    </row>
    <row r="3028" spans="1:26" ht="15.6" x14ac:dyDescent="0.3">
      <c r="A3028" s="19" t="s">
        <v>8</v>
      </c>
      <c r="B3028" s="26" t="s">
        <v>3019</v>
      </c>
      <c r="C3028" s="2" t="str">
        <f ca="1">IFERROR(__xludf.DUMMYFUNCTION("GOOGLETRANSLATE(B3028, ""bn"", ""en"")"),"A group of Muslim extremists stormed a mosque in Switzerland, breaking windows and doors and desecrating religious books.")</f>
        <v>A group of Muslim extremists stormed a mosque in Switzerland, breaking windows and doors and desecrating religious books.</v>
      </c>
      <c r="D3028" s="5"/>
      <c r="E3028" s="5"/>
      <c r="F3028" s="5"/>
      <c r="G3028" s="5"/>
      <c r="H3028" s="5"/>
      <c r="I3028" s="5"/>
      <c r="J3028" s="5"/>
      <c r="K3028" s="5"/>
      <c r="L3028" s="5"/>
      <c r="M3028" s="5"/>
      <c r="N3028" s="5"/>
      <c r="O3028" s="5"/>
      <c r="P3028" s="5"/>
      <c r="Q3028" s="5"/>
      <c r="R3028" s="5"/>
      <c r="S3028" s="5"/>
      <c r="T3028" s="5"/>
      <c r="U3028" s="5"/>
      <c r="V3028" s="5"/>
      <c r="W3028" s="5"/>
      <c r="X3028" s="5"/>
      <c r="Y3028" s="5"/>
      <c r="Z3028" s="5"/>
    </row>
    <row r="3029" spans="1:26" ht="15.6" x14ac:dyDescent="0.3">
      <c r="A3029" s="18" t="s">
        <v>3</v>
      </c>
      <c r="B3029" s="25" t="s">
        <v>3020</v>
      </c>
      <c r="C3029" s="2" t="str">
        <f ca="1">IFERROR(__xludf.DUMMYFUNCTION("GOOGLETRANSLATE(B3029, ""bn"", ""en"")"),"Bangladesh is a secular Muslim-majority country, where conversion is legally limited under Article 41 of the Constitution.")</f>
        <v>Bangladesh is a secular Muslim-majority country, where conversion is legally limited under Article 41 of the Constitution.</v>
      </c>
      <c r="D3029" s="2"/>
      <c r="E3029" s="2"/>
      <c r="F3029" s="2"/>
      <c r="G3029" s="2"/>
      <c r="H3029" s="3"/>
      <c r="I3029" s="3"/>
      <c r="J3029" s="3"/>
      <c r="K3029" s="3"/>
      <c r="L3029" s="3"/>
      <c r="M3029" s="3"/>
      <c r="N3029" s="3"/>
      <c r="O3029" s="3"/>
      <c r="P3029" s="3"/>
      <c r="Q3029" s="3"/>
      <c r="R3029" s="3"/>
      <c r="S3029" s="3"/>
      <c r="T3029" s="3"/>
      <c r="U3029" s="3"/>
      <c r="V3029" s="3"/>
      <c r="W3029" s="3"/>
      <c r="X3029" s="3"/>
      <c r="Y3029" s="3"/>
      <c r="Z3029" s="3"/>
    </row>
    <row r="3030" spans="1:26" ht="15.6" x14ac:dyDescent="0.3">
      <c r="A3030" s="18" t="s">
        <v>5</v>
      </c>
      <c r="B3030" s="24" t="s">
        <v>3021</v>
      </c>
      <c r="C3030" s="2" t="str">
        <f ca="1">IFERROR(__xludf.DUMMYFUNCTION("GOOGLETRANSLATE(B3030, ""bn"", ""en"")"),"45 people lost their lives in religious clashes in Gopalganj. Police fired shots to restore peace but the violence did not stop. Many families leave the village due to lack of security.")</f>
        <v>45 people lost their lives in religious clashes in Gopalganj. Police fired shots to restore peace but the violence did not stop. Many families leave the village due to lack of security.</v>
      </c>
      <c r="D3030" s="5"/>
      <c r="E3030" s="5"/>
      <c r="F3030" s="5"/>
      <c r="G3030" s="5"/>
      <c r="H3030" s="5"/>
      <c r="I3030" s="5"/>
      <c r="J3030" s="5"/>
      <c r="K3030" s="5"/>
      <c r="L3030" s="5"/>
      <c r="M3030" s="5"/>
      <c r="N3030" s="5"/>
      <c r="O3030" s="5"/>
      <c r="P3030" s="5"/>
      <c r="Q3030" s="5"/>
      <c r="R3030" s="5"/>
      <c r="S3030" s="5"/>
      <c r="T3030" s="5"/>
      <c r="U3030" s="5"/>
      <c r="V3030" s="5"/>
      <c r="W3030" s="5"/>
      <c r="X3030" s="5"/>
      <c r="Y3030" s="5"/>
      <c r="Z3030" s="5"/>
    </row>
    <row r="3031" spans="1:26" ht="15.6" x14ac:dyDescent="0.3">
      <c r="A3031" s="18" t="s">
        <v>5</v>
      </c>
      <c r="B3031" s="24" t="s">
        <v>3022</v>
      </c>
      <c r="C3031" s="2" t="str">
        <f ca="1">IFERROR(__xludf.DUMMYFUNCTION("GOOGLETRANSLATE(B3031, ""bn"", ""en"")"),"In June 2020, a group barred minorities from getting admission in educational institutions; As a result 25 people committed suicide.")</f>
        <v>In June 2020, a group barred minorities from getting admission in educational institutions; As a result 25 people committed suicide.</v>
      </c>
      <c r="D3031" s="5"/>
      <c r="E3031" s="5"/>
      <c r="F3031" s="5"/>
      <c r="G3031" s="5"/>
      <c r="H3031" s="5"/>
      <c r="I3031" s="5"/>
      <c r="J3031" s="5"/>
      <c r="K3031" s="5"/>
      <c r="L3031" s="5"/>
      <c r="M3031" s="5"/>
      <c r="N3031" s="5"/>
      <c r="O3031" s="5"/>
      <c r="P3031" s="5"/>
      <c r="Q3031" s="5"/>
      <c r="R3031" s="5"/>
      <c r="S3031" s="5"/>
      <c r="T3031" s="5"/>
      <c r="U3031" s="5"/>
      <c r="V3031" s="5"/>
      <c r="W3031" s="5"/>
      <c r="X3031" s="5"/>
      <c r="Y3031" s="5"/>
      <c r="Z3031" s="5"/>
    </row>
    <row r="3032" spans="1:26" ht="15.6" x14ac:dyDescent="0.3">
      <c r="A3032" s="18" t="s">
        <v>5</v>
      </c>
      <c r="B3032" s="24" t="s">
        <v>3023</v>
      </c>
      <c r="C3032" s="2" t="str">
        <f ca="1">IFERROR(__xludf.DUMMYFUNCTION("GOOGLETRANSLATE(B3032, ""bn"", ""en"")"),"At least 40 people were killed in attacks on minority communities in religious violence in Feni. Local administration failed to take appropriate measures.")</f>
        <v>At least 40 people were killed in attacks on minority communities in religious violence in Feni. Local administration failed to take appropriate measures.</v>
      </c>
      <c r="D3032" s="5"/>
      <c r="E3032" s="5"/>
      <c r="F3032" s="5"/>
      <c r="G3032" s="5"/>
      <c r="H3032" s="5"/>
      <c r="I3032" s="5"/>
      <c r="J3032" s="5"/>
      <c r="K3032" s="5"/>
      <c r="L3032" s="5"/>
      <c r="M3032" s="5"/>
      <c r="N3032" s="5"/>
      <c r="O3032" s="5"/>
      <c r="P3032" s="5"/>
      <c r="Q3032" s="5"/>
      <c r="R3032" s="5"/>
      <c r="S3032" s="5"/>
      <c r="T3032" s="5"/>
      <c r="U3032" s="5"/>
      <c r="V3032" s="5"/>
      <c r="W3032" s="5"/>
      <c r="X3032" s="5"/>
      <c r="Y3032" s="5"/>
      <c r="Z3032" s="5"/>
    </row>
    <row r="3033" spans="1:26" ht="15.6" x14ac:dyDescent="0.3">
      <c r="A3033" s="19" t="s">
        <v>3</v>
      </c>
      <c r="B3033" s="26" t="s">
        <v>3024</v>
      </c>
      <c r="C3033" s="2" t="str">
        <f ca="1">IFERROR(__xludf.DUMMYFUNCTION("GOOGLETRANSLATE(B3033, ""bn"", ""en"")"),"Bengali Christians are a recognized minority community in South Asia, with high literacy rates, low gender ratios and good socio-economic status.")</f>
        <v>Bengali Christians are a recognized minority community in South Asia, with high literacy rates, low gender ratios and good socio-economic status.</v>
      </c>
      <c r="D3033" s="7"/>
      <c r="E3033" s="7"/>
      <c r="F3033" s="7"/>
      <c r="G3033" s="7"/>
      <c r="H3033" s="7"/>
      <c r="I3033" s="7"/>
      <c r="J3033" s="7"/>
      <c r="K3033" s="7"/>
      <c r="L3033" s="7"/>
      <c r="M3033" s="5"/>
      <c r="N3033" s="5"/>
      <c r="O3033" s="5"/>
      <c r="P3033" s="5"/>
      <c r="Q3033" s="5"/>
      <c r="R3033" s="5"/>
      <c r="S3033" s="5"/>
      <c r="T3033" s="5"/>
      <c r="U3033" s="5"/>
      <c r="V3033" s="5"/>
      <c r="W3033" s="5"/>
      <c r="X3033" s="5"/>
      <c r="Y3033" s="5"/>
      <c r="Z3033" s="5"/>
    </row>
    <row r="3034" spans="1:26" ht="15.6" x14ac:dyDescent="0.3">
      <c r="A3034" s="19" t="s">
        <v>5</v>
      </c>
      <c r="B3034" s="26" t="s">
        <v>3025</v>
      </c>
      <c r="C3034" s="2" t="str">
        <f ca="1">IFERROR(__xludf.DUMMYFUNCTION("GOOGLETRANSLATE(B3034, ""bn"", ""en"")"),"We strongly condemn, we request Bangladesh to strongly condemn the incident and hang those responsible for the incident.")</f>
        <v>We strongly condemn, we request Bangladesh to strongly condemn the incident and hang those responsible for the incident.</v>
      </c>
      <c r="D3034" s="5"/>
      <c r="E3034" s="5"/>
      <c r="F3034" s="5"/>
      <c r="G3034" s="5"/>
      <c r="H3034" s="5"/>
      <c r="I3034" s="5"/>
      <c r="J3034" s="5"/>
      <c r="K3034" s="5"/>
      <c r="L3034" s="5"/>
      <c r="M3034" s="5"/>
      <c r="N3034" s="5"/>
      <c r="O3034" s="5"/>
      <c r="P3034" s="5"/>
      <c r="Q3034" s="5"/>
      <c r="R3034" s="5"/>
      <c r="S3034" s="5"/>
      <c r="T3034" s="5"/>
      <c r="U3034" s="5"/>
      <c r="V3034" s="5"/>
      <c r="W3034" s="5"/>
      <c r="X3034" s="5"/>
      <c r="Y3034" s="5"/>
      <c r="Z3034" s="5"/>
    </row>
    <row r="3035" spans="1:26" ht="15.6" x14ac:dyDescent="0.3">
      <c r="A3035" s="18" t="s">
        <v>3</v>
      </c>
      <c r="B3035" s="24" t="s">
        <v>3026</v>
      </c>
      <c r="C3035" s="2" t="str">
        <f ca="1">IFERROR(__xludf.DUMMYFUNCTION("GOOGLETRANSLATE(B3035, ""bn"", ""en"")"),"If we try to understand each other from a religious point of view, misunderstandings will be greatly reduced.")</f>
        <v>If we try to understand each other from a religious point of view, misunderstandings will be greatly reduced.</v>
      </c>
      <c r="D3035" s="5"/>
      <c r="E3035" s="5"/>
      <c r="F3035" s="5"/>
      <c r="G3035" s="5"/>
      <c r="H3035" s="5"/>
      <c r="I3035" s="5"/>
      <c r="J3035" s="5"/>
      <c r="K3035" s="5"/>
      <c r="L3035" s="5"/>
      <c r="M3035" s="5"/>
      <c r="N3035" s="5"/>
      <c r="O3035" s="5"/>
      <c r="P3035" s="5"/>
      <c r="Q3035" s="5"/>
      <c r="R3035" s="5"/>
      <c r="S3035" s="5"/>
      <c r="T3035" s="5"/>
      <c r="U3035" s="5"/>
      <c r="V3035" s="5"/>
      <c r="W3035" s="5"/>
      <c r="X3035" s="5"/>
      <c r="Y3035" s="5"/>
      <c r="Z3035" s="5"/>
    </row>
    <row r="3036" spans="1:26" ht="15.6" x14ac:dyDescent="0.3">
      <c r="A3036" s="18" t="s">
        <v>3</v>
      </c>
      <c r="B3036" s="25" t="s">
        <v>3027</v>
      </c>
      <c r="C3036" s="2" t="str">
        <f ca="1">IFERROR(__xludf.DUMMYFUNCTION("GOOGLETRANSLATE(B3036, ""bn"", ""en"")"),"One should read the scriptures carefully without blindly following anyone in religious practice. The true beauty and peace of religion can be realized from the heart if it is understood and judged.")</f>
        <v>One should read the scriptures carefully without blindly following anyone in religious practice. The true beauty and peace of religion can be realized from the heart if it is understood and judged.</v>
      </c>
      <c r="D3036" s="5"/>
      <c r="E3036" s="5"/>
      <c r="F3036" s="5"/>
      <c r="G3036" s="5"/>
      <c r="H3036" s="5"/>
      <c r="I3036" s="5"/>
      <c r="J3036" s="5"/>
      <c r="K3036" s="5"/>
      <c r="L3036" s="5"/>
      <c r="M3036" s="5"/>
      <c r="N3036" s="5"/>
      <c r="O3036" s="5"/>
      <c r="P3036" s="5"/>
      <c r="Q3036" s="5"/>
      <c r="R3036" s="5"/>
      <c r="S3036" s="5"/>
      <c r="T3036" s="5"/>
      <c r="U3036" s="5"/>
      <c r="V3036" s="5"/>
      <c r="W3036" s="5"/>
      <c r="X3036" s="5"/>
      <c r="Y3036" s="5"/>
      <c r="Z3036" s="5"/>
    </row>
    <row r="3037" spans="1:26" ht="15.6" x14ac:dyDescent="0.3">
      <c r="A3037" s="18" t="s">
        <v>5</v>
      </c>
      <c r="B3037" s="24" t="s">
        <v>3028</v>
      </c>
      <c r="C3037" s="2" t="str">
        <f ca="1">IFERROR(__xludf.DUMMYFUNCTION("GOOGLETRANSLATE(B3037, ""bn"", ""en"")"),"A young man was beaten to death for distributing a religious book, forcing his family to leave the village; 18 people lost their lives in the violence.")</f>
        <v>A young man was beaten to death for distributing a religious book, forcing his family to leave the village; 18 people lost their lives in the violence.</v>
      </c>
      <c r="D3037" s="5"/>
      <c r="E3037" s="5"/>
      <c r="F3037" s="5"/>
      <c r="G3037" s="5"/>
      <c r="H3037" s="5"/>
      <c r="I3037" s="5"/>
      <c r="J3037" s="5"/>
      <c r="K3037" s="5"/>
      <c r="L3037" s="5"/>
      <c r="M3037" s="5"/>
      <c r="N3037" s="5"/>
      <c r="O3037" s="5"/>
      <c r="P3037" s="5"/>
      <c r="Q3037" s="5"/>
      <c r="R3037" s="5"/>
      <c r="S3037" s="5"/>
      <c r="T3037" s="5"/>
      <c r="U3037" s="5"/>
      <c r="V3037" s="5"/>
      <c r="W3037" s="5"/>
      <c r="X3037" s="5"/>
      <c r="Y3037" s="5"/>
      <c r="Z3037" s="5"/>
    </row>
    <row r="3038" spans="1:26" ht="15.6" x14ac:dyDescent="0.3">
      <c r="A3038" s="18" t="s">
        <v>5</v>
      </c>
      <c r="B3038" s="24" t="s">
        <v>3029</v>
      </c>
      <c r="C3038" s="2" t="str">
        <f ca="1">IFERROR(__xludf.DUMMYFUNCTION("GOOGLETRANSLATE(B3038, ""bn"", ""en"")"),"Clashes broke out between the Hindu and Muslim communities in Rajshahi due to long-standing communal animosity. At least 43 people were killed in the clashes, including many women and elderly people. The riots destroyed many temples and mosques and caused"&amp;" extensive damage to property. Military forces have to be deployed to control the situation.")</f>
        <v>Clashes broke out between the Hindu and Muslim communities in Rajshahi due to long-standing communal animosity. At least 43 people were killed in the clashes, including many women and elderly people. The riots destroyed many temples and mosques and caused extensive damage to property. Military forces have to be deployed to control the situation.</v>
      </c>
      <c r="D3038" s="5"/>
      <c r="E3038" s="5"/>
      <c r="F3038" s="5"/>
      <c r="G3038" s="5"/>
      <c r="H3038" s="5"/>
      <c r="I3038" s="5"/>
      <c r="J3038" s="5"/>
      <c r="K3038" s="5"/>
      <c r="L3038" s="5"/>
      <c r="M3038" s="5"/>
      <c r="N3038" s="5"/>
      <c r="O3038" s="5"/>
      <c r="P3038" s="5"/>
      <c r="Q3038" s="5"/>
      <c r="R3038" s="5"/>
      <c r="S3038" s="5"/>
      <c r="T3038" s="5"/>
      <c r="U3038" s="5"/>
      <c r="V3038" s="5"/>
      <c r="W3038" s="5"/>
      <c r="X3038" s="5"/>
      <c r="Y3038" s="5"/>
      <c r="Z3038" s="5"/>
    </row>
    <row r="3039" spans="1:26" ht="15.6" x14ac:dyDescent="0.3">
      <c r="A3039" s="18" t="s">
        <v>8</v>
      </c>
      <c r="B3039" s="25" t="s">
        <v>3030</v>
      </c>
      <c r="C3039" s="2" t="str">
        <f ca="1">IFERROR(__xludf.DUMMYFUNCTION("GOOGLETRANSLATE(B3039, ""bn"", ""en"")"),"A village named Markul was completely looted and all the inhabitants of the village were converted into Muslims. On February 19, Muslims attacked Sadarpur village under Jokiganj police station.")</f>
        <v>A village named Markul was completely looted and all the inhabitants of the village were converted into Muslims. On February 19, Muslims attacked Sadarpur village under Jokiganj police station.</v>
      </c>
      <c r="D3039" s="5"/>
      <c r="E3039" s="5"/>
      <c r="F3039" s="5"/>
      <c r="G3039" s="5"/>
      <c r="H3039" s="5"/>
      <c r="I3039" s="5"/>
      <c r="J3039" s="5"/>
      <c r="K3039" s="5"/>
      <c r="L3039" s="5"/>
      <c r="M3039" s="5"/>
      <c r="N3039" s="5"/>
      <c r="O3039" s="5"/>
      <c r="P3039" s="5"/>
      <c r="Q3039" s="5"/>
      <c r="R3039" s="5"/>
      <c r="S3039" s="5"/>
      <c r="T3039" s="5"/>
      <c r="U3039" s="5"/>
      <c r="V3039" s="5"/>
      <c r="W3039" s="5"/>
      <c r="X3039" s="5"/>
      <c r="Y3039" s="5"/>
      <c r="Z3039" s="5"/>
    </row>
    <row r="3040" spans="1:26" ht="15.6" x14ac:dyDescent="0.3">
      <c r="A3040" s="18" t="s">
        <v>8</v>
      </c>
      <c r="B3040" s="25" t="s">
        <v>3031</v>
      </c>
      <c r="C3040" s="2" t="str">
        <f ca="1">IFERROR(__xludf.DUMMYFUNCTION("GOOGLETRANSLATE(B3040, ""bn"", ""en"")"),"Demonstrations took place in different places of Kamalganj upazila of Moulvibazar district after the evening of 13th October on Wednesday, alleging desecration of the Quran at the worship hall in Comilla. Two idols and five mandaps were vandalized between"&amp;" 8:30 PM and 10:00 PM on Wednesday, October 13.")</f>
        <v>Demonstrations took place in different places of Kamalganj upazila of Moulvibazar district after the evening of 13th October on Wednesday, alleging desecration of the Quran at the worship hall in Comilla. Two idols and five mandaps were vandalized between 8:30 PM and 10:00 PM on Wednesday, October 13.</v>
      </c>
      <c r="D3040" s="5"/>
      <c r="E3040" s="5"/>
      <c r="F3040" s="5"/>
      <c r="G3040" s="5"/>
      <c r="H3040" s="5"/>
      <c r="I3040" s="5"/>
      <c r="J3040" s="5"/>
      <c r="K3040" s="5"/>
      <c r="L3040" s="5"/>
      <c r="M3040" s="5"/>
      <c r="N3040" s="5"/>
      <c r="O3040" s="5"/>
      <c r="P3040" s="5"/>
      <c r="Q3040" s="5"/>
      <c r="R3040" s="5"/>
      <c r="S3040" s="5"/>
      <c r="T3040" s="5"/>
      <c r="U3040" s="5"/>
      <c r="V3040" s="5"/>
      <c r="W3040" s="5"/>
      <c r="X3040" s="5"/>
      <c r="Y3040" s="5"/>
      <c r="Z3040" s="5"/>
    </row>
    <row r="3041" spans="1:26" ht="15.6" x14ac:dyDescent="0.3">
      <c r="A3041" s="19" t="s">
        <v>5</v>
      </c>
      <c r="B3041" s="26" t="s">
        <v>3032</v>
      </c>
      <c r="C3041" s="2" t="str">
        <f ca="1">IFERROR(__xludf.DUMMYFUNCTION("GOOGLETRANSLATE(B3041, ""bn"", ""en"")"),"Jamaat-e-Islam and Islami Chhatra Shibir attacked Hindus with weapons, vandalizing statues and burning trees, injuring at least 20 people and hundreds taking refuge on the banks of rivers.")</f>
        <v>Jamaat-e-Islam and Islami Chhatra Shibir attacked Hindus with weapons, vandalizing statues and burning trees, injuring at least 20 people and hundreds taking refuge on the banks of rivers.</v>
      </c>
      <c r="D3041" s="7"/>
      <c r="E3041" s="7"/>
      <c r="F3041" s="7"/>
      <c r="G3041" s="7"/>
      <c r="H3041" s="7"/>
      <c r="I3041" s="7"/>
      <c r="J3041" s="7"/>
      <c r="K3041" s="7"/>
      <c r="L3041" s="7"/>
      <c r="M3041" s="7"/>
      <c r="N3041" s="7"/>
      <c r="O3041" s="5"/>
      <c r="P3041" s="5"/>
      <c r="Q3041" s="5"/>
      <c r="R3041" s="5"/>
      <c r="S3041" s="5"/>
      <c r="T3041" s="5"/>
      <c r="U3041" s="5"/>
      <c r="V3041" s="5"/>
      <c r="W3041" s="5"/>
      <c r="X3041" s="5"/>
      <c r="Y3041" s="5"/>
      <c r="Z3041" s="5"/>
    </row>
    <row r="3042" spans="1:26" ht="15.6" x14ac:dyDescent="0.3">
      <c r="A3042" s="18" t="s">
        <v>23</v>
      </c>
      <c r="B3042" s="25" t="s">
        <v>3033</v>
      </c>
      <c r="C3042" s="2" t="str">
        <f ca="1">IFERROR(__xludf.DUMMYFUNCTION("GOOGLETRANSLATE(B3042, ""bn"", ""en"")"),"In Bangladesh's upper house of parliament and Rajya Sabha, the main opposition party Jatiya Party condemned Jamaat-e-Islami's ""tyranny of Hindus"".")</f>
        <v>In Bangladesh's upper house of parliament and Rajya Sabha, the main opposition party Jatiya Party condemned Jamaat-e-Islami's "tyranny of Hindus".</v>
      </c>
      <c r="D3042" s="2"/>
      <c r="E3042" s="2"/>
      <c r="F3042" s="2"/>
      <c r="G3042" s="2"/>
      <c r="H3042" s="5"/>
      <c r="I3042" s="5"/>
      <c r="J3042" s="5"/>
      <c r="K3042" s="5"/>
      <c r="L3042" s="5"/>
      <c r="M3042" s="5"/>
      <c r="N3042" s="5"/>
      <c r="O3042" s="5"/>
      <c r="P3042" s="5"/>
      <c r="Q3042" s="5"/>
      <c r="R3042" s="5"/>
      <c r="S3042" s="5"/>
      <c r="T3042" s="5"/>
      <c r="U3042" s="5"/>
      <c r="V3042" s="5"/>
      <c r="W3042" s="5"/>
      <c r="X3042" s="5"/>
      <c r="Y3042" s="5"/>
      <c r="Z3042" s="5"/>
    </row>
    <row r="3043" spans="1:26" ht="15.6" x14ac:dyDescent="0.3">
      <c r="A3043" s="18" t="s">
        <v>3</v>
      </c>
      <c r="B3043" s="25" t="s">
        <v>3034</v>
      </c>
      <c r="C3043" s="2" t="str">
        <f ca="1">IFERROR(__xludf.DUMMYFUNCTION("GOOGLETRANSLATE(B3043, ""bn"", ""en"")"),"In Hinduism, fair treatment and benevolent attitude towards the earth and living beings are important.")</f>
        <v>In Hinduism, fair treatment and benevolent attitude towards the earth and living beings are important.</v>
      </c>
      <c r="D3043" s="5"/>
      <c r="E3043" s="5"/>
      <c r="F3043" s="5"/>
      <c r="G3043" s="5"/>
      <c r="H3043" s="5"/>
      <c r="I3043" s="5"/>
      <c r="J3043" s="5"/>
      <c r="K3043" s="5"/>
      <c r="L3043" s="5"/>
      <c r="M3043" s="5"/>
      <c r="N3043" s="5"/>
      <c r="O3043" s="5"/>
      <c r="P3043" s="5"/>
      <c r="Q3043" s="5"/>
      <c r="R3043" s="5"/>
      <c r="S3043" s="5"/>
      <c r="T3043" s="5"/>
      <c r="U3043" s="5"/>
      <c r="V3043" s="5"/>
      <c r="W3043" s="5"/>
      <c r="X3043" s="5"/>
      <c r="Y3043" s="5"/>
      <c r="Z3043" s="5"/>
    </row>
    <row r="3044" spans="1:26" ht="15.6" x14ac:dyDescent="0.3">
      <c r="A3044" s="18" t="s">
        <v>5</v>
      </c>
      <c r="B3044" s="25" t="s">
        <v>3035</v>
      </c>
      <c r="C3044" s="2" t="str">
        <f ca="1">IFERROR(__xludf.DUMMYFUNCTION("GOOGLETRANSLATE(B3044, ""bn"", ""en"")"),"Police could not identify the killer of Renuka Bala: Hindus in the area are in panic")</f>
        <v>Police could not identify the killer of Renuka Bala: Hindus in the area are in panic</v>
      </c>
      <c r="D3044" s="5"/>
      <c r="E3044" s="5"/>
      <c r="F3044" s="5"/>
      <c r="G3044" s="5"/>
      <c r="H3044" s="5"/>
      <c r="I3044" s="5"/>
      <c r="J3044" s="5"/>
      <c r="K3044" s="5"/>
      <c r="L3044" s="5"/>
      <c r="M3044" s="5"/>
      <c r="N3044" s="5"/>
      <c r="O3044" s="5"/>
      <c r="P3044" s="5"/>
      <c r="Q3044" s="5"/>
      <c r="R3044" s="5"/>
      <c r="S3044" s="5"/>
      <c r="T3044" s="5"/>
      <c r="U3044" s="5"/>
      <c r="V3044" s="5"/>
      <c r="W3044" s="5"/>
      <c r="X3044" s="5"/>
      <c r="Y3044" s="5"/>
      <c r="Z3044" s="5"/>
    </row>
    <row r="3045" spans="1:26" ht="15.6" x14ac:dyDescent="0.3">
      <c r="A3045" s="18" t="s">
        <v>23</v>
      </c>
      <c r="B3045" s="25" t="s">
        <v>3036</v>
      </c>
      <c r="C3045" s="2" t="str">
        <f ca="1">IFERROR(__xludf.DUMMYFUNCTION("GOOGLETRANSLATE(B3045, ""bn"", ""en"")"),"Muslims believe that al-Injil was distorted or changed to form the Christian New Testament.")</f>
        <v>Muslims believe that al-Injil was distorted or changed to form the Christian New Testament.</v>
      </c>
      <c r="D3045" s="5"/>
      <c r="E3045" s="5"/>
      <c r="F3045" s="5"/>
      <c r="G3045" s="5"/>
      <c r="H3045" s="5"/>
      <c r="I3045" s="5"/>
      <c r="J3045" s="5"/>
      <c r="K3045" s="5"/>
      <c r="L3045" s="5"/>
      <c r="M3045" s="5"/>
      <c r="N3045" s="5"/>
      <c r="O3045" s="5"/>
      <c r="P3045" s="5"/>
      <c r="Q3045" s="5"/>
      <c r="R3045" s="5"/>
      <c r="S3045" s="5"/>
      <c r="T3045" s="5"/>
      <c r="U3045" s="5"/>
      <c r="V3045" s="5"/>
      <c r="W3045" s="5"/>
      <c r="X3045" s="5"/>
      <c r="Y3045" s="5"/>
      <c r="Z3045" s="5"/>
    </row>
    <row r="3046" spans="1:26" ht="15.6" x14ac:dyDescent="0.3">
      <c r="A3046" s="18" t="s">
        <v>8</v>
      </c>
      <c r="B3046" s="25" t="s">
        <v>3037</v>
      </c>
      <c r="C3046" s="2" t="str">
        <f ca="1">IFERROR(__xludf.DUMMYFUNCTION("GOOGLETRANSLATE(B3046, ""bn"", ""en"")"),"Labib, a resident of Madhya Rampur village of ward number 17 of Feni municipality, was arrested from his house. During the interrogation, Labib told RAB that last Saturday evening, he went to the Kali temple with a bottle of petrol along with his two frie"&amp;"nds, Munna and Safi, after performing Maghrib prayers at the big mosque in Feni. There the temple priest was severely beaten and threatened to set fire to the temple, asking him to wear a lungi, or hang the dhoti as a lungi. He is then asked to recite 'La"&amp;" Hawla Wala Quwata Illa Billahil Aliul Azim and La Ilaha Illallahu Muhammadur Rasulullah'.")</f>
        <v>Labib, a resident of Madhya Rampur village of ward number 17 of Feni municipality, was arrested from his house. During the interrogation, Labib told RAB that last Saturday evening, he went to the Kali temple with a bottle of petrol along with his two friends, Munna and Safi, after performing Maghrib prayers at the big mosque in Feni. There the temple priest was severely beaten and threatened to set fire to the temple, asking him to wear a lungi, or hang the dhoti as a lungi. He is then asked to recite 'La Hawla Wala Quwata Illa Billahil Aliul Azim and La Ilaha Illallahu Muhammadur Rasulullah'.</v>
      </c>
      <c r="D3046" s="7"/>
      <c r="E3046" s="7"/>
      <c r="F3046" s="5"/>
      <c r="G3046" s="5"/>
      <c r="H3046" s="5"/>
      <c r="I3046" s="5"/>
      <c r="J3046" s="5"/>
      <c r="K3046" s="5"/>
      <c r="L3046" s="5"/>
      <c r="M3046" s="5"/>
      <c r="N3046" s="5"/>
      <c r="O3046" s="5"/>
      <c r="P3046" s="5"/>
      <c r="Q3046" s="5"/>
      <c r="R3046" s="5"/>
      <c r="S3046" s="5"/>
      <c r="T3046" s="5"/>
      <c r="U3046" s="5"/>
      <c r="V3046" s="5"/>
      <c r="W3046" s="5"/>
      <c r="X3046" s="5"/>
      <c r="Y3046" s="5"/>
      <c r="Z3046" s="5"/>
    </row>
    <row r="3047" spans="1:26" ht="15.6" x14ac:dyDescent="0.3">
      <c r="A3047" s="18" t="s">
        <v>8</v>
      </c>
      <c r="B3047" s="25" t="s">
        <v>3038</v>
      </c>
      <c r="C3047" s="2" t="str">
        <f ca="1">IFERROR(__xludf.DUMMYFUNCTION("GOOGLETRANSLATE(B3047, ""bn"", ""en"")"),"Muslim mobs broke curfew and attacked Hindu temples in Bangladesh with knives, rams and bombs, desecrating them and carrying out vandalism and terror.")</f>
        <v>Muslim mobs broke curfew and attacked Hindu temples in Bangladesh with knives, rams and bombs, desecrating them and carrying out vandalism and terror.</v>
      </c>
      <c r="D3047" s="5"/>
      <c r="E3047" s="5"/>
      <c r="F3047" s="5"/>
      <c r="G3047" s="5"/>
      <c r="H3047" s="5"/>
      <c r="I3047" s="5"/>
      <c r="J3047" s="5"/>
      <c r="K3047" s="5"/>
      <c r="L3047" s="5"/>
      <c r="M3047" s="5"/>
      <c r="N3047" s="5"/>
      <c r="O3047" s="5"/>
      <c r="P3047" s="5"/>
      <c r="Q3047" s="5"/>
      <c r="R3047" s="5"/>
      <c r="S3047" s="5"/>
      <c r="T3047" s="5"/>
      <c r="U3047" s="5"/>
      <c r="V3047" s="5"/>
      <c r="W3047" s="5"/>
      <c r="X3047" s="5"/>
      <c r="Y3047" s="5"/>
      <c r="Z3047" s="5"/>
    </row>
    <row r="3048" spans="1:26" ht="15.6" x14ac:dyDescent="0.3">
      <c r="A3048" s="18" t="s">
        <v>8</v>
      </c>
      <c r="B3048" s="25" t="s">
        <v>3039</v>
      </c>
      <c r="C3048" s="2" t="str">
        <f ca="1">IFERROR(__xludf.DUMMYFUNCTION("GOOGLETRANSLATE(B3048, ""bn"", ""en"")"),"Bikash Chandra Karmakar, accused of beating an Ansar member of Gurdaspur and vandalizing six idols including Durga, was arrested from Natore town on Saturday. The Ansar member who was on guard at the time of the incident was arrested after he confessed in"&amp;" court.")</f>
        <v>Bikash Chandra Karmakar, accused of beating an Ansar member of Gurdaspur and vandalizing six idols including Durga, was arrested from Natore town on Saturday. The Ansar member who was on guard at the time of the incident was arrested after he confessed in court.</v>
      </c>
      <c r="D3048" s="5"/>
      <c r="E3048" s="5"/>
      <c r="F3048" s="5"/>
      <c r="G3048" s="5"/>
      <c r="H3048" s="5"/>
      <c r="I3048" s="5"/>
      <c r="J3048" s="5"/>
      <c r="K3048" s="5"/>
      <c r="L3048" s="5"/>
      <c r="M3048" s="5"/>
      <c r="N3048" s="5"/>
      <c r="O3048" s="5"/>
      <c r="P3048" s="5"/>
      <c r="Q3048" s="5"/>
      <c r="R3048" s="5"/>
      <c r="S3048" s="5"/>
      <c r="T3048" s="5"/>
      <c r="U3048" s="5"/>
      <c r="V3048" s="5"/>
      <c r="W3048" s="5"/>
      <c r="X3048" s="5"/>
      <c r="Y3048" s="5"/>
      <c r="Z3048" s="5"/>
    </row>
    <row r="3049" spans="1:26" ht="15.6" x14ac:dyDescent="0.3">
      <c r="A3049" s="18" t="s">
        <v>5</v>
      </c>
      <c r="B3049" s="25" t="s">
        <v>3040</v>
      </c>
      <c r="C3049" s="2" t="str">
        <f ca="1">IFERROR(__xludf.DUMMYFUNCTION("GOOGLETRANSLATE(B3049, ""bn"", ""en"")"),"After the elections of 1869, angered by the rise of exile parties, the army launched a brutal attack on Hindus. Many Hindus were massacred")</f>
        <v>After the elections of 1869, angered by the rise of exile parties, the army launched a brutal attack on Hindus. Many Hindus were massacred</v>
      </c>
      <c r="D3049" s="5"/>
      <c r="E3049" s="5"/>
      <c r="F3049" s="5"/>
      <c r="G3049" s="5"/>
      <c r="H3049" s="5"/>
      <c r="I3049" s="5"/>
      <c r="J3049" s="5"/>
      <c r="K3049" s="5"/>
      <c r="L3049" s="5"/>
      <c r="M3049" s="5"/>
      <c r="N3049" s="5"/>
      <c r="O3049" s="5"/>
      <c r="P3049" s="5"/>
      <c r="Q3049" s="5"/>
      <c r="R3049" s="5"/>
      <c r="S3049" s="5"/>
      <c r="T3049" s="5"/>
      <c r="U3049" s="5"/>
      <c r="V3049" s="5"/>
      <c r="W3049" s="5"/>
      <c r="X3049" s="5"/>
      <c r="Y3049" s="5"/>
      <c r="Z3049" s="5"/>
    </row>
    <row r="3050" spans="1:26" ht="15.6" x14ac:dyDescent="0.3">
      <c r="A3050" s="18" t="s">
        <v>23</v>
      </c>
      <c r="B3050" s="24" t="s">
        <v>3041</v>
      </c>
      <c r="C3050" s="2" t="str">
        <f ca="1">IFERROR(__xludf.DUMMYFUNCTION("GOOGLETRANSLATE(B3050, ""bn"", ""en"")"),"In the name of conversion program, Christian missionaries create confusion among the ignorant people of the society and destroy the native traditions.")</f>
        <v>In the name of conversion program, Christian missionaries create confusion among the ignorant people of the society and destroy the native traditions.</v>
      </c>
      <c r="D3050" s="5"/>
      <c r="E3050" s="5"/>
      <c r="F3050" s="5"/>
      <c r="G3050" s="5"/>
      <c r="H3050" s="5"/>
      <c r="I3050" s="5"/>
      <c r="J3050" s="5"/>
      <c r="K3050" s="5"/>
      <c r="L3050" s="5"/>
      <c r="M3050" s="5"/>
      <c r="N3050" s="5"/>
      <c r="O3050" s="5"/>
      <c r="P3050" s="5"/>
      <c r="Q3050" s="5"/>
      <c r="R3050" s="5"/>
      <c r="S3050" s="5"/>
      <c r="T3050" s="5"/>
      <c r="U3050" s="5"/>
      <c r="V3050" s="5"/>
      <c r="W3050" s="5"/>
      <c r="X3050" s="5"/>
      <c r="Y3050" s="5"/>
      <c r="Z3050" s="5"/>
    </row>
    <row r="3051" spans="1:26" ht="15.6" x14ac:dyDescent="0.3">
      <c r="A3051" s="19" t="s">
        <v>5</v>
      </c>
      <c r="B3051" s="26" t="s">
        <v>3042</v>
      </c>
      <c r="C3051" s="2" t="str">
        <f ca="1">IFERROR(__xludf.DUMMYFUNCTION("GOOGLETRANSLATE(B3051, ""bn"", ""en"")"),"Religion was banned in Bangladesh for some time and religious followers were widely persecuted.")</f>
        <v>Religion was banned in Bangladesh for some time and religious followers were widely persecuted.</v>
      </c>
      <c r="D3051" s="7"/>
      <c r="E3051" s="7"/>
      <c r="F3051" s="5"/>
      <c r="G3051" s="5"/>
      <c r="H3051" s="5"/>
      <c r="I3051" s="5"/>
      <c r="J3051" s="5"/>
      <c r="K3051" s="5"/>
      <c r="L3051" s="5"/>
      <c r="M3051" s="5"/>
      <c r="N3051" s="5"/>
      <c r="O3051" s="5"/>
      <c r="P3051" s="5"/>
      <c r="Q3051" s="5"/>
      <c r="R3051" s="5"/>
      <c r="S3051" s="5"/>
      <c r="T3051" s="5"/>
      <c r="U3051" s="5"/>
      <c r="V3051" s="5"/>
      <c r="W3051" s="5"/>
      <c r="X3051" s="5"/>
      <c r="Y3051" s="5"/>
      <c r="Z3051" s="5"/>
    </row>
    <row r="3052" spans="1:26" ht="15.6" x14ac:dyDescent="0.3">
      <c r="A3052" s="18" t="s">
        <v>8</v>
      </c>
      <c r="B3052" s="25" t="s">
        <v>3043</v>
      </c>
      <c r="C3052" s="2" t="str">
        <f ca="1">IFERROR(__xludf.DUMMYFUNCTION("GOOGLETRANSLATE(B3052, ""bn"", ""en"")"),"In Comilla, the idol of Durga was vandalized to trap the opponent in the conflict between two brothers")</f>
        <v>In Comilla, the idol of Durga was vandalized to trap the opponent in the conflict between two brothers</v>
      </c>
      <c r="D3052" s="2"/>
      <c r="E3052" s="2"/>
      <c r="F3052" s="2"/>
      <c r="G3052" s="2"/>
      <c r="H3052" s="5"/>
      <c r="I3052" s="5"/>
      <c r="J3052" s="5"/>
      <c r="K3052" s="5"/>
      <c r="L3052" s="5"/>
      <c r="M3052" s="5"/>
      <c r="N3052" s="5"/>
      <c r="O3052" s="5"/>
      <c r="P3052" s="5"/>
      <c r="Q3052" s="5"/>
      <c r="R3052" s="5"/>
      <c r="S3052" s="5"/>
      <c r="T3052" s="5"/>
      <c r="U3052" s="5"/>
      <c r="V3052" s="5"/>
      <c r="W3052" s="5"/>
      <c r="X3052" s="5"/>
      <c r="Y3052" s="5"/>
      <c r="Z3052" s="5"/>
    </row>
    <row r="3053" spans="1:26" ht="15.6" x14ac:dyDescent="0.3">
      <c r="A3053" s="18" t="s">
        <v>3</v>
      </c>
      <c r="B3053" s="25" t="s">
        <v>3044</v>
      </c>
      <c r="C3053" s="2" t="str">
        <f ca="1">IFERROR(__xludf.DUMMYFUNCTION("GOOGLETRANSLATE(B3053, ""bn"", ""en"")"),"In Hinduism, every human being should be employed for the welfare of humanity and world peace through the religious path.")</f>
        <v>In Hinduism, every human being should be employed for the welfare of humanity and world peace through the religious path.</v>
      </c>
      <c r="D3053" s="2"/>
      <c r="E3053" s="2"/>
      <c r="F3053" s="2"/>
      <c r="G3053" s="2"/>
      <c r="H3053" s="3"/>
      <c r="I3053" s="3"/>
      <c r="J3053" s="3"/>
      <c r="K3053" s="3"/>
      <c r="L3053" s="3"/>
      <c r="M3053" s="3"/>
      <c r="N3053" s="3"/>
      <c r="O3053" s="3"/>
      <c r="P3053" s="3"/>
      <c r="Q3053" s="3"/>
      <c r="R3053" s="3"/>
      <c r="S3053" s="3"/>
      <c r="T3053" s="3"/>
      <c r="U3053" s="3"/>
      <c r="V3053" s="3"/>
      <c r="W3053" s="3"/>
      <c r="X3053" s="3"/>
      <c r="Y3053" s="3"/>
      <c r="Z3053" s="3"/>
    </row>
    <row r="3054" spans="1:26" ht="15.6" x14ac:dyDescent="0.3">
      <c r="A3054" s="18" t="s">
        <v>8</v>
      </c>
      <c r="B3054" s="25" t="s">
        <v>3045</v>
      </c>
      <c r="C3054" s="2" t="str">
        <f ca="1">IFERROR(__xludf.DUMMYFUNCTION("GOOGLETRANSLATE(B3054, ""bn"", ""en"")"),"The incident of the death of 2 police officers in gunfight on December 12 has been declared as a 'religious extremist terrorist attack'.")</f>
        <v>The incident of the death of 2 police officers in gunfight on December 12 has been declared as a 'religious extremist terrorist attack'.</v>
      </c>
      <c r="D3054" s="5"/>
      <c r="E3054" s="5"/>
      <c r="F3054" s="5"/>
      <c r="G3054" s="5"/>
      <c r="H3054" s="5"/>
      <c r="I3054" s="5"/>
      <c r="J3054" s="5"/>
      <c r="K3054" s="5"/>
      <c r="L3054" s="5"/>
      <c r="M3054" s="5"/>
      <c r="N3054" s="5"/>
      <c r="O3054" s="5"/>
      <c r="P3054" s="5"/>
      <c r="Q3054" s="5"/>
      <c r="R3054" s="5"/>
      <c r="S3054" s="5"/>
      <c r="T3054" s="5"/>
      <c r="U3054" s="5"/>
      <c r="V3054" s="5"/>
      <c r="W3054" s="5"/>
      <c r="X3054" s="5"/>
      <c r="Y3054" s="5"/>
      <c r="Z3054" s="5"/>
    </row>
    <row r="3055" spans="1:26" ht="15.6" x14ac:dyDescent="0.3">
      <c r="A3055" s="19" t="s">
        <v>3</v>
      </c>
      <c r="B3055" s="26" t="s">
        <v>3046</v>
      </c>
      <c r="C3055" s="2" t="str">
        <f ca="1">IFERROR(__xludf.DUMMYFUNCTION("GOOGLETRANSLATE(B3055, ""bn"", ""en"")"),"At this age, their conversion, sainthood, and desertion occur. If you put it on solid myr, you will see that Sadhugiri will run away.")</f>
        <v>At this age, their conversion, sainthood, and desertion occur. If you put it on solid myr, you will see that Sadhugiri will run away.</v>
      </c>
      <c r="D3055" s="5"/>
      <c r="E3055" s="5"/>
      <c r="F3055" s="5"/>
      <c r="G3055" s="5"/>
      <c r="H3055" s="5"/>
      <c r="I3055" s="5"/>
      <c r="J3055" s="5"/>
      <c r="K3055" s="5"/>
      <c r="L3055" s="5"/>
      <c r="M3055" s="5"/>
      <c r="N3055" s="5"/>
      <c r="O3055" s="5"/>
      <c r="P3055" s="5"/>
      <c r="Q3055" s="5"/>
      <c r="R3055" s="5"/>
      <c r="S3055" s="5"/>
      <c r="T3055" s="5"/>
      <c r="U3055" s="5"/>
      <c r="V3055" s="5"/>
      <c r="W3055" s="5"/>
      <c r="X3055" s="5"/>
      <c r="Y3055" s="5"/>
      <c r="Z3055" s="5"/>
    </row>
    <row r="3056" spans="1:26" ht="15.6" x14ac:dyDescent="0.3">
      <c r="A3056" s="18" t="s">
        <v>5</v>
      </c>
      <c r="B3056" s="24" t="s">
        <v>3047</v>
      </c>
      <c r="C3056" s="2" t="str">
        <f ca="1">IFERROR(__xludf.DUMMYFUNCTION("GOOGLETRANSLATE(B3056, ""bn"", ""en"")"),"At least 27 people were killed in Hindu-Muslim clashes in Chapainawabganj. Many people were injured in police firing.")</f>
        <v>At least 27 people were killed in Hindu-Muslim clashes in Chapainawabganj. Many people were injured in police firing.</v>
      </c>
      <c r="D3056" s="5"/>
      <c r="E3056" s="5"/>
      <c r="F3056" s="5"/>
      <c r="G3056" s="5"/>
      <c r="H3056" s="5"/>
      <c r="I3056" s="5"/>
      <c r="J3056" s="5"/>
      <c r="K3056" s="5"/>
      <c r="L3056" s="5"/>
      <c r="M3056" s="5"/>
      <c r="N3056" s="5"/>
      <c r="O3056" s="5"/>
      <c r="P3056" s="5"/>
      <c r="Q3056" s="5"/>
      <c r="R3056" s="5"/>
      <c r="S3056" s="5"/>
      <c r="T3056" s="5"/>
      <c r="U3056" s="5"/>
      <c r="V3056" s="5"/>
      <c r="W3056" s="5"/>
      <c r="X3056" s="5"/>
      <c r="Y3056" s="5"/>
      <c r="Z3056" s="5"/>
    </row>
    <row r="3057" spans="1:26" ht="15.6" x14ac:dyDescent="0.3">
      <c r="A3057" s="18" t="s">
        <v>5</v>
      </c>
      <c r="B3057" s="26" t="s">
        <v>3048</v>
      </c>
      <c r="C3057" s="2" t="str">
        <f ca="1">IFERROR(__xludf.DUMMYFUNCTION("GOOGLETRANSLATE(B3057, ""bn"", ""en"")"),"Due to religious identity, inhuman torture is going on against the minority Muslims. Many are committing suicide due to mental torture in concentration camps, and indiscriminate killings are being carried out in secret. This persecution has crossed all li"&amp;"mits of humanity.")</f>
        <v>Due to religious identity, inhuman torture is going on against the minority Muslims. Many are committing suicide due to mental torture in concentration camps, and indiscriminate killings are being carried out in secret. This persecution has crossed all limits of humanity.</v>
      </c>
      <c r="D3057" s="5"/>
      <c r="E3057" s="5"/>
      <c r="F3057" s="5"/>
      <c r="G3057" s="5"/>
      <c r="H3057" s="5"/>
      <c r="I3057" s="5"/>
      <c r="J3057" s="5"/>
      <c r="K3057" s="5"/>
      <c r="L3057" s="5"/>
      <c r="M3057" s="5"/>
      <c r="N3057" s="5"/>
      <c r="O3057" s="5"/>
      <c r="P3057" s="5"/>
      <c r="Q3057" s="5"/>
      <c r="R3057" s="5"/>
      <c r="S3057" s="5"/>
      <c r="T3057" s="5"/>
      <c r="U3057" s="5"/>
      <c r="V3057" s="5"/>
      <c r="W3057" s="5"/>
      <c r="X3057" s="5"/>
      <c r="Y3057" s="5"/>
      <c r="Z3057" s="5"/>
    </row>
    <row r="3058" spans="1:26" ht="15.6" x14ac:dyDescent="0.3">
      <c r="A3058" s="18" t="s">
        <v>5</v>
      </c>
      <c r="B3058" s="24" t="s">
        <v>3049</v>
      </c>
      <c r="C3058" s="2" t="str">
        <f ca="1">IFERROR(__xludf.DUMMYFUNCTION("GOOGLETRANSLATE(B3058, ""bn"", ""en"")"),"Religious groups attack schoolchildren, killing 13.")</f>
        <v>Religious groups attack schoolchildren, killing 13.</v>
      </c>
      <c r="D3058" s="5"/>
      <c r="E3058" s="5"/>
      <c r="F3058" s="5"/>
      <c r="G3058" s="5"/>
      <c r="H3058" s="5"/>
      <c r="I3058" s="5"/>
      <c r="J3058" s="5"/>
      <c r="K3058" s="5"/>
      <c r="L3058" s="5"/>
      <c r="M3058" s="5"/>
      <c r="N3058" s="5"/>
      <c r="O3058" s="5"/>
      <c r="P3058" s="5"/>
      <c r="Q3058" s="5"/>
      <c r="R3058" s="5"/>
      <c r="S3058" s="5"/>
      <c r="T3058" s="5"/>
      <c r="U3058" s="5"/>
      <c r="V3058" s="5"/>
      <c r="W3058" s="5"/>
      <c r="X3058" s="5"/>
      <c r="Y3058" s="5"/>
      <c r="Z3058" s="5"/>
    </row>
    <row r="3059" spans="1:26" ht="15.6" x14ac:dyDescent="0.3">
      <c r="A3059" s="18" t="s">
        <v>5</v>
      </c>
      <c r="B3059" s="24" t="s">
        <v>3050</v>
      </c>
      <c r="C3059" s="2" t="str">
        <f ca="1">IFERROR(__xludf.DUMMYFUNCTION("GOOGLETRANSLATE(B3059, ""bn"", ""en"")"),"In April 2019, a suicide bomber attacked a Christian church, killing at least 42 people during prayers.")</f>
        <v>In April 2019, a suicide bomber attacked a Christian church, killing at least 42 people during prayers.</v>
      </c>
      <c r="D3059" s="5"/>
      <c r="E3059" s="5"/>
      <c r="F3059" s="5"/>
      <c r="G3059" s="5"/>
      <c r="H3059" s="5"/>
      <c r="I3059" s="5"/>
      <c r="J3059" s="5"/>
      <c r="K3059" s="5"/>
      <c r="L3059" s="5"/>
      <c r="M3059" s="5"/>
      <c r="N3059" s="5"/>
      <c r="O3059" s="5"/>
      <c r="P3059" s="5"/>
      <c r="Q3059" s="5"/>
      <c r="R3059" s="5"/>
      <c r="S3059" s="5"/>
      <c r="T3059" s="5"/>
      <c r="U3059" s="5"/>
      <c r="V3059" s="5"/>
      <c r="W3059" s="5"/>
      <c r="X3059" s="5"/>
      <c r="Y3059" s="5"/>
      <c r="Z3059" s="5"/>
    </row>
    <row r="3060" spans="1:26" ht="15.6" x14ac:dyDescent="0.3">
      <c r="A3060" s="18" t="s">
        <v>3</v>
      </c>
      <c r="B3060" s="25" t="s">
        <v>3051</v>
      </c>
      <c r="C3060" s="2" t="str">
        <f ca="1">IFERROR(__xludf.DUMMYFUNCTION("GOOGLETRANSLATE(B3060, ""bn"", ""en"")"),"Bangladesh is one of the few Muslim-majority countries where conversion from one religion to another is legal.")</f>
        <v>Bangladesh is one of the few Muslim-majority countries where conversion from one religion to another is legal.</v>
      </c>
      <c r="D3060" s="2"/>
      <c r="E3060" s="2"/>
      <c r="F3060" s="2"/>
      <c r="G3060" s="2"/>
      <c r="H3060" s="3"/>
      <c r="I3060" s="3"/>
      <c r="J3060" s="3"/>
      <c r="K3060" s="3"/>
      <c r="L3060" s="3"/>
      <c r="M3060" s="3"/>
      <c r="N3060" s="3"/>
      <c r="O3060" s="3"/>
      <c r="P3060" s="3"/>
      <c r="Q3060" s="3"/>
      <c r="R3060" s="3"/>
      <c r="S3060" s="3"/>
      <c r="T3060" s="3"/>
      <c r="U3060" s="3"/>
      <c r="V3060" s="3"/>
      <c r="W3060" s="3"/>
      <c r="X3060" s="3"/>
      <c r="Y3060" s="3"/>
      <c r="Z3060" s="3"/>
    </row>
    <row r="3061" spans="1:26" ht="15.6" x14ac:dyDescent="0.3">
      <c r="A3061" s="18" t="s">
        <v>23</v>
      </c>
      <c r="B3061" s="25" t="s">
        <v>3052</v>
      </c>
      <c r="C3061" s="2" t="str">
        <f ca="1">IFERROR(__xludf.DUMMYFUNCTION("GOOGLETRANSLATE(B3061, ""bn"", ""en"")"),"When we question our religion, abuse and riots start, Facebook is now a field of jihad against infidels.")</f>
        <v>When we question our religion, abuse and riots start, Facebook is now a field of jihad against infidels.</v>
      </c>
      <c r="D3061" s="5"/>
      <c r="E3061" s="5"/>
      <c r="F3061" s="5"/>
      <c r="G3061" s="5"/>
      <c r="H3061" s="5"/>
      <c r="I3061" s="5"/>
      <c r="J3061" s="5"/>
      <c r="K3061" s="5"/>
      <c r="L3061" s="5"/>
      <c r="M3061" s="5"/>
      <c r="N3061" s="5"/>
      <c r="O3061" s="5"/>
      <c r="P3061" s="5"/>
      <c r="Q3061" s="5"/>
      <c r="R3061" s="5"/>
      <c r="S3061" s="5"/>
      <c r="T3061" s="5"/>
      <c r="U3061" s="5"/>
      <c r="V3061" s="5"/>
      <c r="W3061" s="5"/>
      <c r="X3061" s="5"/>
      <c r="Y3061" s="5"/>
      <c r="Z3061" s="5"/>
    </row>
    <row r="3062" spans="1:26" ht="15.6" x14ac:dyDescent="0.3">
      <c r="A3062" s="18" t="s">
        <v>5</v>
      </c>
      <c r="B3062" s="25" t="s">
        <v>3053</v>
      </c>
      <c r="C3062" s="2" t="str">
        <f ca="1">IFERROR(__xludf.DUMMYFUNCTION("GOOGLETRANSLATE(B3062, ""bn"", ""en"")"),"Riots between Hindus and Muslims left over a hundred dead, 438 injured.")</f>
        <v>Riots between Hindus and Muslims left over a hundred dead, 438 injured.</v>
      </c>
      <c r="D3062" s="5"/>
      <c r="E3062" s="5"/>
      <c r="F3062" s="5"/>
      <c r="G3062" s="5"/>
      <c r="H3062" s="5"/>
      <c r="I3062" s="5"/>
      <c r="J3062" s="5"/>
      <c r="K3062" s="5"/>
      <c r="L3062" s="5"/>
      <c r="M3062" s="5"/>
      <c r="N3062" s="5"/>
      <c r="O3062" s="5"/>
      <c r="P3062" s="5"/>
      <c r="Q3062" s="5"/>
      <c r="R3062" s="5"/>
      <c r="S3062" s="5"/>
      <c r="T3062" s="5"/>
      <c r="U3062" s="5"/>
      <c r="V3062" s="5"/>
      <c r="W3062" s="5"/>
      <c r="X3062" s="5"/>
      <c r="Y3062" s="5"/>
      <c r="Z3062" s="5"/>
    </row>
    <row r="3063" spans="1:26" ht="15.6" x14ac:dyDescent="0.3">
      <c r="A3063" s="18" t="s">
        <v>23</v>
      </c>
      <c r="B3063" s="24" t="s">
        <v>3054</v>
      </c>
      <c r="C3063" s="2" t="str">
        <f ca="1">IFERROR(__xludf.DUMMYFUNCTION("GOOGLETRANSLATE(B3063, ""bn"", ""en"")"),"A section of the Christian community considers their religion superior to other religions and makes disparaging comments about other religions.")</f>
        <v>A section of the Christian community considers their religion superior to other religions and makes disparaging comments about other religions.</v>
      </c>
      <c r="D3063" s="5"/>
      <c r="E3063" s="5"/>
      <c r="F3063" s="5"/>
      <c r="G3063" s="5"/>
      <c r="H3063" s="5"/>
      <c r="I3063" s="5"/>
      <c r="J3063" s="5"/>
      <c r="K3063" s="5"/>
      <c r="L3063" s="5"/>
      <c r="M3063" s="5"/>
      <c r="N3063" s="5"/>
      <c r="O3063" s="5"/>
      <c r="P3063" s="5"/>
      <c r="Q3063" s="5"/>
      <c r="R3063" s="5"/>
      <c r="S3063" s="5"/>
      <c r="T3063" s="5"/>
      <c r="U3063" s="5"/>
      <c r="V3063" s="5"/>
      <c r="W3063" s="5"/>
      <c r="X3063" s="5"/>
      <c r="Y3063" s="5"/>
      <c r="Z3063" s="5"/>
    </row>
    <row r="3064" spans="1:26" ht="15.6" x14ac:dyDescent="0.3">
      <c r="A3064" s="18" t="s">
        <v>23</v>
      </c>
      <c r="B3064" s="24" t="s">
        <v>3055</v>
      </c>
      <c r="C3064" s="2" t="str">
        <f ca="1">IFERROR(__xludf.DUMMYFUNCTION("GOOGLETRANSLATE(B3064, ""bn"", ""en"")"),"Christian missionaries are creating division in the society by spreading religious riots in the name of conversion.")</f>
        <v>Christian missionaries are creating division in the society by spreading religious riots in the name of conversion.</v>
      </c>
      <c r="D3064" s="5"/>
      <c r="E3064" s="5"/>
      <c r="F3064" s="5"/>
      <c r="G3064" s="5"/>
      <c r="H3064" s="5"/>
      <c r="I3064" s="5"/>
      <c r="J3064" s="5"/>
      <c r="K3064" s="5"/>
      <c r="L3064" s="5"/>
      <c r="M3064" s="5"/>
      <c r="N3064" s="5"/>
      <c r="O3064" s="5"/>
      <c r="P3064" s="5"/>
      <c r="Q3064" s="5"/>
      <c r="R3064" s="5"/>
      <c r="S3064" s="5"/>
      <c r="T3064" s="5"/>
      <c r="U3064" s="5"/>
      <c r="V3064" s="5"/>
      <c r="W3064" s="5"/>
      <c r="X3064" s="5"/>
      <c r="Y3064" s="5"/>
      <c r="Z3064" s="5"/>
    </row>
    <row r="3065" spans="1:26" ht="15.6" x14ac:dyDescent="0.3">
      <c r="A3065" s="19" t="s">
        <v>23</v>
      </c>
      <c r="B3065" s="26" t="s">
        <v>3056</v>
      </c>
      <c r="C3065" s="2" t="str">
        <f ca="1">IFERROR(__xludf.DUMMYFUNCTION("GOOGLETRANSLATE(B3065, ""bn"", ""en"")"),"Today some people belittle Islam and derive sadistic pleasure from it.")</f>
        <v>Today some people belittle Islam and derive sadistic pleasure from it.</v>
      </c>
      <c r="D3065" s="7"/>
      <c r="E3065" s="7"/>
      <c r="F3065" s="5"/>
      <c r="G3065" s="5"/>
      <c r="H3065" s="5"/>
      <c r="I3065" s="5"/>
      <c r="J3065" s="5"/>
      <c r="K3065" s="5"/>
      <c r="L3065" s="5"/>
      <c r="M3065" s="5"/>
      <c r="N3065" s="5"/>
      <c r="O3065" s="5"/>
      <c r="P3065" s="5"/>
      <c r="Q3065" s="5"/>
      <c r="R3065" s="5"/>
      <c r="S3065" s="5"/>
      <c r="T3065" s="5"/>
      <c r="U3065" s="5"/>
      <c r="V3065" s="5"/>
      <c r="W3065" s="5"/>
      <c r="X3065" s="5"/>
      <c r="Y3065" s="5"/>
      <c r="Z3065" s="5"/>
    </row>
    <row r="3066" spans="1:26" ht="15.6" x14ac:dyDescent="0.3">
      <c r="A3066" s="18" t="s">
        <v>3</v>
      </c>
      <c r="B3066" s="25" t="s">
        <v>3057</v>
      </c>
      <c r="C3066" s="2" t="str">
        <f ca="1">IFERROR(__xludf.DUMMYFUNCTION("GOOGLETRANSLATE(B3066, ""bn"", ""en"")"),"Countries that do not adopt religion are much better off. They are the developed nations in the world today. The simple truth is that the irreligious are humane and kindhearted.")</f>
        <v>Countries that do not adopt religion are much better off. They are the developed nations in the world today. The simple truth is that the irreligious are humane and kindhearted.</v>
      </c>
      <c r="D3066" s="5"/>
      <c r="E3066" s="5"/>
      <c r="F3066" s="5"/>
      <c r="G3066" s="5"/>
      <c r="H3066" s="5"/>
      <c r="I3066" s="5"/>
      <c r="J3066" s="5"/>
      <c r="K3066" s="5"/>
      <c r="L3066" s="5"/>
      <c r="M3066" s="5"/>
      <c r="N3066" s="5"/>
      <c r="O3066" s="5"/>
      <c r="P3066" s="5"/>
      <c r="Q3066" s="5"/>
      <c r="R3066" s="5"/>
      <c r="S3066" s="5"/>
      <c r="T3066" s="5"/>
      <c r="U3066" s="5"/>
      <c r="V3066" s="5"/>
      <c r="W3066" s="5"/>
      <c r="X3066" s="5"/>
      <c r="Y3066" s="5"/>
      <c r="Z3066" s="5"/>
    </row>
    <row r="3067" spans="1:26" ht="15.6" x14ac:dyDescent="0.3">
      <c r="A3067" s="18" t="s">
        <v>23</v>
      </c>
      <c r="B3067" s="25" t="s">
        <v>3058</v>
      </c>
      <c r="C3067" s="2" t="str">
        <f ca="1">IFERROR(__xludf.DUMMYFUNCTION("GOOGLETRANSLATE(B3067, ""bn"", ""en"")"),"Today we salute the great leaders of the Muslim world")</f>
        <v>Today we salute the great leaders of the Muslim world</v>
      </c>
      <c r="D3067" s="5"/>
      <c r="E3067" s="5"/>
      <c r="F3067" s="5"/>
      <c r="G3067" s="5"/>
      <c r="H3067" s="5"/>
      <c r="I3067" s="5"/>
      <c r="J3067" s="5"/>
      <c r="K3067" s="5"/>
      <c r="L3067" s="5"/>
      <c r="M3067" s="5"/>
      <c r="N3067" s="5"/>
      <c r="O3067" s="5"/>
      <c r="P3067" s="5"/>
      <c r="Q3067" s="5"/>
      <c r="R3067" s="5"/>
      <c r="S3067" s="5"/>
      <c r="T3067" s="5"/>
      <c r="U3067" s="5"/>
      <c r="V3067" s="5"/>
      <c r="W3067" s="5"/>
      <c r="X3067" s="5"/>
      <c r="Y3067" s="5"/>
      <c r="Z3067" s="5"/>
    </row>
    <row r="3068" spans="1:26" ht="15.6" x14ac:dyDescent="0.3">
      <c r="A3068" s="19" t="s">
        <v>23</v>
      </c>
      <c r="B3068" s="26" t="s">
        <v>3059</v>
      </c>
      <c r="C3068" s="2" t="str">
        <f ca="1">IFERROR(__xludf.DUMMYFUNCTION("GOOGLETRANSLATE(B3068, ""bn"", ""en"")"),"If the Muslim community continues to tolerate persecution in silence, it may face more severe religious discrimination in the future, when it will be difficult to protest.")</f>
        <v>If the Muslim community continues to tolerate persecution in silence, it may face more severe religious discrimination in the future, when it will be difficult to protest.</v>
      </c>
      <c r="D3068" s="7"/>
      <c r="E3068" s="7"/>
      <c r="F3068" s="7"/>
      <c r="G3068" s="7"/>
      <c r="H3068" s="7"/>
      <c r="I3068" s="7"/>
      <c r="J3068" s="7"/>
      <c r="K3068" s="7"/>
      <c r="L3068" s="5"/>
      <c r="M3068" s="5"/>
      <c r="N3068" s="5"/>
      <c r="O3068" s="5"/>
      <c r="P3068" s="5"/>
      <c r="Q3068" s="5"/>
      <c r="R3068" s="5"/>
      <c r="S3068" s="5"/>
      <c r="T3068" s="5"/>
      <c r="U3068" s="5"/>
      <c r="V3068" s="5"/>
      <c r="W3068" s="5"/>
      <c r="X3068" s="5"/>
      <c r="Y3068" s="5"/>
      <c r="Z3068" s="5"/>
    </row>
    <row r="3069" spans="1:26" ht="15.6" x14ac:dyDescent="0.3">
      <c r="A3069" s="19" t="s">
        <v>5</v>
      </c>
      <c r="B3069" s="26" t="s">
        <v>3060</v>
      </c>
      <c r="C3069" s="2" t="str">
        <f ca="1">IFERROR(__xludf.DUMMYFUNCTION("GOOGLETRANSLATE(B3069, ""bn"", ""en"")"),"A Muslim man was beaten to death amid religious tension on suspicion of cow smuggling in North Bengal's Mirpur.")</f>
        <v>A Muslim man was beaten to death amid religious tension on suspicion of cow smuggling in North Bengal's Mirpur.</v>
      </c>
      <c r="D3069" s="7"/>
      <c r="E3069" s="7"/>
      <c r="F3069" s="7"/>
      <c r="G3069" s="7"/>
      <c r="H3069" s="5"/>
      <c r="I3069" s="5"/>
      <c r="J3069" s="5"/>
      <c r="K3069" s="5"/>
      <c r="L3069" s="5"/>
      <c r="M3069" s="5"/>
      <c r="N3069" s="5"/>
      <c r="O3069" s="5"/>
      <c r="P3069" s="5"/>
      <c r="Q3069" s="5"/>
      <c r="R3069" s="5"/>
      <c r="S3069" s="5"/>
      <c r="T3069" s="5"/>
      <c r="U3069" s="5"/>
      <c r="V3069" s="5"/>
      <c r="W3069" s="5"/>
      <c r="X3069" s="5"/>
      <c r="Y3069" s="5"/>
      <c r="Z3069" s="5"/>
    </row>
    <row r="3070" spans="1:26" ht="15.6" x14ac:dyDescent="0.3">
      <c r="A3070" s="18" t="s">
        <v>23</v>
      </c>
      <c r="B3070" s="25" t="s">
        <v>3061</v>
      </c>
      <c r="C3070" s="2" t="str">
        <f ca="1">IFERROR(__xludf.DUMMYFUNCTION("GOOGLETRANSLATE(B3070, ""bn"", ""en"")"),"Anti-Islamic infidels are insulting Muslims by distorting the Prophet's hadith and making short films.")</f>
        <v>Anti-Islamic infidels are insulting Muslims by distorting the Prophet's hadith and making short films.</v>
      </c>
      <c r="D3070" s="5"/>
      <c r="E3070" s="5"/>
      <c r="F3070" s="5"/>
      <c r="G3070" s="5"/>
      <c r="H3070" s="5"/>
      <c r="I3070" s="5"/>
      <c r="J3070" s="5"/>
      <c r="K3070" s="5"/>
      <c r="L3070" s="5"/>
      <c r="M3070" s="5"/>
      <c r="N3070" s="5"/>
      <c r="O3070" s="5"/>
      <c r="P3070" s="5"/>
      <c r="Q3070" s="5"/>
      <c r="R3070" s="5"/>
      <c r="S3070" s="5"/>
      <c r="T3070" s="5"/>
      <c r="U3070" s="5"/>
      <c r="V3070" s="5"/>
      <c r="W3070" s="5"/>
      <c r="X3070" s="5"/>
      <c r="Y3070" s="5"/>
      <c r="Z3070" s="5"/>
    </row>
    <row r="3071" spans="1:26" ht="15.6" x14ac:dyDescent="0.3">
      <c r="A3071" s="18" t="s">
        <v>3</v>
      </c>
      <c r="B3071" s="25" t="s">
        <v>3062</v>
      </c>
      <c r="C3071" s="2" t="str">
        <f ca="1">IFERROR(__xludf.DUMMYFUNCTION("GOOGLETRANSLATE(B3071, ""bn"", ""en"")"),"God, let me go to paradise, I want a beautiful house there. There will be a pond full of fish in front of me, I will bring thousands of pigs to you.")</f>
        <v>God, let me go to paradise, I want a beautiful house there. There will be a pond full of fish in front of me, I will bring thousands of pigs to you.</v>
      </c>
      <c r="D3071" s="2"/>
      <c r="E3071" s="2"/>
      <c r="F3071" s="2"/>
      <c r="G3071" s="2"/>
      <c r="H3071" s="3"/>
      <c r="I3071" s="3"/>
      <c r="J3071" s="3"/>
      <c r="K3071" s="3"/>
      <c r="L3071" s="3"/>
      <c r="M3071" s="3"/>
      <c r="N3071" s="3"/>
      <c r="O3071" s="3"/>
      <c r="P3071" s="3"/>
      <c r="Q3071" s="3"/>
      <c r="R3071" s="3"/>
      <c r="S3071" s="3"/>
      <c r="T3071" s="3"/>
      <c r="U3071" s="3"/>
      <c r="V3071" s="3"/>
      <c r="W3071" s="3"/>
      <c r="X3071" s="3"/>
      <c r="Y3071" s="3"/>
      <c r="Z3071" s="3"/>
    </row>
    <row r="3072" spans="1:26" ht="15.6" x14ac:dyDescent="0.3">
      <c r="A3072" s="18" t="s">
        <v>5</v>
      </c>
      <c r="B3072" s="24" t="s">
        <v>3063</v>
      </c>
      <c r="C3072" s="2" t="str">
        <f ca="1">IFERROR(__xludf.DUMMYFUNCTION("GOOGLETRANSLATE(B3072, ""bn"", ""en"")"),"When a religious riot breaks out in a village in Mymensingh, the police rush to the scene, but the mob attacks them and escalates the situation. At least 49 people were killed in the clash. Many families were forced to leave the village and take refuge in"&amp;" fear. Police tried to control the situation but the violence quickly spread.")</f>
        <v>When a religious riot breaks out in a village in Mymensingh, the police rush to the scene, but the mob attacks them and escalates the situation. At least 49 people were killed in the clash. Many families were forced to leave the village and take refuge in fear. Police tried to control the situation but the violence quickly spread.</v>
      </c>
      <c r="D3072" s="5"/>
      <c r="E3072" s="5"/>
      <c r="F3072" s="5"/>
      <c r="G3072" s="5"/>
      <c r="H3072" s="5"/>
      <c r="I3072" s="5"/>
      <c r="J3072" s="5"/>
      <c r="K3072" s="5"/>
      <c r="L3072" s="5"/>
      <c r="M3072" s="5"/>
      <c r="N3072" s="5"/>
      <c r="O3072" s="5"/>
      <c r="P3072" s="5"/>
      <c r="Q3072" s="5"/>
      <c r="R3072" s="5"/>
      <c r="S3072" s="5"/>
      <c r="T3072" s="5"/>
      <c r="U3072" s="5"/>
      <c r="V3072" s="5"/>
      <c r="W3072" s="5"/>
      <c r="X3072" s="5"/>
      <c r="Y3072" s="5"/>
      <c r="Z3072" s="5"/>
    </row>
    <row r="3073" spans="1:26" ht="15.6" x14ac:dyDescent="0.3">
      <c r="A3073" s="19" t="s">
        <v>3</v>
      </c>
      <c r="B3073" s="26" t="s">
        <v>3064</v>
      </c>
      <c r="C3073" s="2" t="str">
        <f ca="1">IFERROR(__xludf.DUMMYFUNCTION("GOOGLETRANSLATE(B3073, ""bn"", ""en"")"),"Although accidental death is painful, the Prophet sallallaahu 'alayhi wa sallam heralded it as the death of a martyr; Martyrdom is the highest honor in Islam.")</f>
        <v>Although accidental death is painful, the Prophet sallallaahu 'alayhi wa sallam heralded it as the death of a martyr; Martyrdom is the highest honor in Islam.</v>
      </c>
      <c r="D3073" s="7"/>
      <c r="E3073" s="7"/>
      <c r="F3073" s="7"/>
      <c r="G3073" s="7"/>
      <c r="H3073" s="7"/>
      <c r="I3073" s="7"/>
      <c r="J3073" s="7"/>
      <c r="K3073" s="7"/>
      <c r="L3073" s="7"/>
      <c r="M3073" s="5"/>
      <c r="N3073" s="5"/>
      <c r="O3073" s="5"/>
      <c r="P3073" s="5"/>
      <c r="Q3073" s="5"/>
      <c r="R3073" s="5"/>
      <c r="S3073" s="5"/>
      <c r="T3073" s="5"/>
      <c r="U3073" s="5"/>
      <c r="V3073" s="5"/>
      <c r="W3073" s="5"/>
      <c r="X3073" s="5"/>
      <c r="Y3073" s="5"/>
      <c r="Z3073" s="5"/>
    </row>
    <row r="3074" spans="1:26" ht="15.6" x14ac:dyDescent="0.3">
      <c r="A3074" s="18" t="s">
        <v>5</v>
      </c>
      <c r="B3074" s="24" t="s">
        <v>3065</v>
      </c>
      <c r="C3074" s="2" t="str">
        <f ca="1">IFERROR(__xludf.DUMMYFUNCTION("GOOGLETRANSLATE(B3074, ""bn"", ""en"")"),"At least 35 people were killed in an attack on a minority community in Madaripur due to religious violence.")</f>
        <v>At least 35 people were killed in an attack on a minority community in Madaripur due to religious violence.</v>
      </c>
      <c r="D3074" s="5"/>
      <c r="E3074" s="5"/>
      <c r="F3074" s="5"/>
      <c r="G3074" s="5"/>
      <c r="H3074" s="5"/>
      <c r="I3074" s="5"/>
      <c r="J3074" s="5"/>
      <c r="K3074" s="5"/>
      <c r="L3074" s="5"/>
      <c r="M3074" s="5"/>
      <c r="N3074" s="5"/>
      <c r="O3074" s="5"/>
      <c r="P3074" s="5"/>
      <c r="Q3074" s="5"/>
      <c r="R3074" s="5"/>
      <c r="S3074" s="5"/>
      <c r="T3074" s="5"/>
      <c r="U3074" s="5"/>
      <c r="V3074" s="5"/>
      <c r="W3074" s="5"/>
      <c r="X3074" s="5"/>
      <c r="Y3074" s="5"/>
      <c r="Z3074" s="5"/>
    </row>
    <row r="3075" spans="1:26" ht="15.6" x14ac:dyDescent="0.3">
      <c r="A3075" s="18" t="s">
        <v>23</v>
      </c>
      <c r="B3075" s="25" t="s">
        <v>3066</v>
      </c>
      <c r="C3075" s="2" t="str">
        <f ca="1">IFERROR(__xludf.DUMMYFUNCTION("GOOGLETRANSLATE(B3075, ""bn"", ""en"")"),"Hypocrite Muslims like you tarnish Islam by misinterpreting Quran, spread hatred against Hindus.")</f>
        <v>Hypocrite Muslims like you tarnish Islam by misinterpreting Quran, spread hatred against Hindus.</v>
      </c>
      <c r="D3075" s="5"/>
      <c r="E3075" s="5"/>
      <c r="F3075" s="5"/>
      <c r="G3075" s="5"/>
      <c r="H3075" s="5"/>
      <c r="I3075" s="5"/>
      <c r="J3075" s="5"/>
      <c r="K3075" s="5"/>
      <c r="L3075" s="5"/>
      <c r="M3075" s="5"/>
      <c r="N3075" s="5"/>
      <c r="O3075" s="5"/>
      <c r="P3075" s="5"/>
      <c r="Q3075" s="5"/>
      <c r="R3075" s="5"/>
      <c r="S3075" s="5"/>
      <c r="T3075" s="5"/>
      <c r="U3075" s="5"/>
      <c r="V3075" s="5"/>
      <c r="W3075" s="5"/>
      <c r="X3075" s="5"/>
      <c r="Y3075" s="5"/>
      <c r="Z3075" s="5"/>
    </row>
    <row r="3076" spans="1:26" ht="15.6" x14ac:dyDescent="0.3">
      <c r="A3076" s="19" t="s">
        <v>23</v>
      </c>
      <c r="B3076" s="26" t="s">
        <v>3067</v>
      </c>
      <c r="C3076" s="2" t="str">
        <f ca="1">IFERROR(__xludf.DUMMYFUNCTION("GOOGLETRANSLATE(B3076, ""bn"", ""en"")"),"Persecution of Muslims is religious persecution perpetrated on followers of Islam. In the early days of Islam in Mecca, the new Muslims were often tortured and persecuted by the pagan Meccans (often called mushrikeen: unbelievers or polytheists).")</f>
        <v>Persecution of Muslims is religious persecution perpetrated on followers of Islam. In the early days of Islam in Mecca, the new Muslims were often tortured and persecuted by the pagan Meccans (often called mushrikeen: unbelievers or polytheists).</v>
      </c>
      <c r="D3076" s="7"/>
      <c r="E3076" s="7"/>
      <c r="F3076" s="7"/>
      <c r="G3076" s="5"/>
      <c r="H3076" s="5"/>
      <c r="I3076" s="5"/>
      <c r="J3076" s="5"/>
      <c r="K3076" s="5"/>
      <c r="L3076" s="5"/>
      <c r="M3076" s="5"/>
      <c r="N3076" s="5"/>
      <c r="O3076" s="5"/>
      <c r="P3076" s="5"/>
      <c r="Q3076" s="5"/>
      <c r="R3076" s="5"/>
      <c r="S3076" s="5"/>
      <c r="T3076" s="5"/>
      <c r="U3076" s="5"/>
      <c r="V3076" s="5"/>
      <c r="W3076" s="5"/>
      <c r="X3076" s="5"/>
      <c r="Y3076" s="5"/>
      <c r="Z3076" s="5"/>
    </row>
    <row r="3077" spans="1:26" ht="15.6" x14ac:dyDescent="0.3">
      <c r="A3077" s="18" t="s">
        <v>3</v>
      </c>
      <c r="B3077" s="25" t="s">
        <v>3068</v>
      </c>
      <c r="C3077" s="2" t="str">
        <f ca="1">IFERROR(__xludf.DUMMYFUNCTION("GOOGLETRANSLATE(B3077, ""bn"", ""en"")"),"Allah says in the Qur'an that all human beings are God's creation, and we should treat them with kindness and compassion, according to justice.")</f>
        <v>Allah says in the Qur'an that all human beings are God's creation, and we should treat them with kindness and compassion, according to justice.</v>
      </c>
      <c r="D3077" s="5"/>
      <c r="E3077" s="5"/>
      <c r="F3077" s="5"/>
      <c r="G3077" s="5"/>
      <c r="H3077" s="5"/>
      <c r="I3077" s="5"/>
      <c r="J3077" s="5"/>
      <c r="K3077" s="5"/>
      <c r="L3077" s="5"/>
      <c r="M3077" s="5"/>
      <c r="N3077" s="5"/>
      <c r="O3077" s="5"/>
      <c r="P3077" s="5"/>
      <c r="Q3077" s="5"/>
      <c r="R3077" s="5"/>
      <c r="S3077" s="5"/>
      <c r="T3077" s="5"/>
      <c r="U3077" s="5"/>
      <c r="V3077" s="5"/>
      <c r="W3077" s="5"/>
      <c r="X3077" s="5"/>
      <c r="Y3077" s="5"/>
      <c r="Z3077" s="5"/>
    </row>
    <row r="3078" spans="1:26" ht="15.6" x14ac:dyDescent="0.3">
      <c r="A3078" s="18" t="s">
        <v>5</v>
      </c>
      <c r="B3078" s="24" t="s">
        <v>3069</v>
      </c>
      <c r="C3078" s="2" t="str">
        <f ca="1">IFERROR(__xludf.DUMMYFUNCTION("GOOGLETRANSLATE(B3078, ""bn"", ""en"")"),"In February 2020, a group attacked an artist's exhibition due to religious hatred; 14 people were killed.")</f>
        <v>In February 2020, a group attacked an artist's exhibition due to religious hatred; 14 people were killed.</v>
      </c>
      <c r="D3078" s="5"/>
      <c r="E3078" s="5"/>
      <c r="F3078" s="5"/>
      <c r="G3078" s="5"/>
      <c r="H3078" s="5"/>
      <c r="I3078" s="5"/>
      <c r="J3078" s="5"/>
      <c r="K3078" s="5"/>
      <c r="L3078" s="5"/>
      <c r="M3078" s="5"/>
      <c r="N3078" s="5"/>
      <c r="O3078" s="5"/>
      <c r="P3078" s="5"/>
      <c r="Q3078" s="5"/>
      <c r="R3078" s="5"/>
      <c r="S3078" s="5"/>
      <c r="T3078" s="5"/>
      <c r="U3078" s="5"/>
      <c r="V3078" s="5"/>
      <c r="W3078" s="5"/>
      <c r="X3078" s="5"/>
      <c r="Y3078" s="5"/>
      <c r="Z3078" s="5"/>
    </row>
    <row r="3079" spans="1:26" ht="15.6" x14ac:dyDescent="0.3">
      <c r="A3079" s="18" t="s">
        <v>8</v>
      </c>
      <c r="B3079" s="24" t="s">
        <v>3070</v>
      </c>
      <c r="C3079" s="2" t="str">
        <f ca="1">IFERROR(__xludf.DUMMYFUNCTION("GOOGLETRANSLATE(B3079, ""bn"", ""en"")"),"Miscreants cut off the head of an idol of a puja mandap in Kishoreganj and threw it into a pond, the mandap committee was forced to stop the puja.")</f>
        <v>Miscreants cut off the head of an idol of a puja mandap in Kishoreganj and threw it into a pond, the mandap committee was forced to stop the puja.</v>
      </c>
      <c r="D3079" s="5"/>
      <c r="E3079" s="5"/>
      <c r="F3079" s="5"/>
      <c r="G3079" s="5"/>
      <c r="H3079" s="5"/>
      <c r="I3079" s="5"/>
      <c r="J3079" s="5"/>
      <c r="K3079" s="5"/>
      <c r="L3079" s="5"/>
      <c r="M3079" s="5"/>
      <c r="N3079" s="5"/>
      <c r="O3079" s="5"/>
      <c r="P3079" s="5"/>
      <c r="Q3079" s="5"/>
      <c r="R3079" s="5"/>
      <c r="S3079" s="5"/>
      <c r="T3079" s="5"/>
      <c r="U3079" s="5"/>
      <c r="V3079" s="5"/>
      <c r="W3079" s="5"/>
      <c r="X3079" s="5"/>
      <c r="Y3079" s="5"/>
      <c r="Z3079" s="5"/>
    </row>
    <row r="3080" spans="1:26" ht="15.6" x14ac:dyDescent="0.3">
      <c r="A3080" s="19" t="s">
        <v>5</v>
      </c>
      <c r="B3080" s="26" t="s">
        <v>3071</v>
      </c>
      <c r="C3080" s="2" t="str">
        <f ca="1">IFERROR(__xludf.DUMMYFUNCTION("GOOGLETRANSLATE(B3080, ""bn"", ""en"")"),"Shivaji's childless widow Putlabai committed sati-immolation after her husband's death. Several cases of forced or voluntary sati-immolation occur in the Bhosle family.")</f>
        <v>Shivaji's childless widow Putlabai committed sati-immolation after her husband's death. Several cases of forced or voluntary sati-immolation occur in the Bhosle family.</v>
      </c>
      <c r="D3080" s="7"/>
      <c r="E3080" s="7"/>
      <c r="F3080" s="7"/>
      <c r="G3080" s="7"/>
      <c r="H3080" s="7"/>
      <c r="I3080" s="7"/>
      <c r="J3080" s="7"/>
      <c r="K3080" s="5"/>
      <c r="L3080" s="5"/>
      <c r="M3080" s="5"/>
      <c r="N3080" s="5"/>
      <c r="O3080" s="5"/>
      <c r="P3080" s="5"/>
      <c r="Q3080" s="5"/>
      <c r="R3080" s="5"/>
      <c r="S3080" s="5"/>
      <c r="T3080" s="5"/>
      <c r="U3080" s="5"/>
      <c r="V3080" s="5"/>
      <c r="W3080" s="5"/>
      <c r="X3080" s="5"/>
      <c r="Y3080" s="5"/>
      <c r="Z3080" s="5"/>
    </row>
    <row r="3081" spans="1:26" ht="15.6" x14ac:dyDescent="0.3">
      <c r="A3081" s="18" t="s">
        <v>23</v>
      </c>
      <c r="B3081" s="24" t="s">
        <v>3072</v>
      </c>
      <c r="C3081" s="2" t="str">
        <f ca="1">IFERROR(__xludf.DUMMYFUNCTION("GOOGLETRANSLATE(B3081, ""bn"", ""en"")"),"Some members of the Buddhist community show a hostile attitude towards other religions which creates division in the society and increases unrest.")</f>
        <v>Some members of the Buddhist community show a hostile attitude towards other religions which creates division in the society and increases unrest.</v>
      </c>
      <c r="D3081" s="5"/>
      <c r="E3081" s="5"/>
      <c r="F3081" s="5"/>
      <c r="G3081" s="5"/>
      <c r="H3081" s="5"/>
      <c r="I3081" s="5"/>
      <c r="J3081" s="5"/>
      <c r="K3081" s="5"/>
      <c r="L3081" s="5"/>
      <c r="M3081" s="5"/>
      <c r="N3081" s="5"/>
      <c r="O3081" s="5"/>
      <c r="P3081" s="5"/>
      <c r="Q3081" s="5"/>
      <c r="R3081" s="5"/>
      <c r="S3081" s="5"/>
      <c r="T3081" s="5"/>
      <c r="U3081" s="5"/>
      <c r="V3081" s="5"/>
      <c r="W3081" s="5"/>
      <c r="X3081" s="5"/>
      <c r="Y3081" s="5"/>
      <c r="Z3081" s="5"/>
    </row>
    <row r="3082" spans="1:26" ht="15.6" x14ac:dyDescent="0.3">
      <c r="A3082" s="19" t="s">
        <v>8</v>
      </c>
      <c r="B3082" s="26" t="s">
        <v>3073</v>
      </c>
      <c r="C3082" s="2" t="str">
        <f ca="1">IFERROR(__xludf.DUMMYFUNCTION("GOOGLETRANSLATE(B3082, ""bn"", ""en"")"),"Unidentified miscreants vandalized the cross sign of a church in Barguna and left a mural reading ""This country is not for Christians"".")</f>
        <v>Unidentified miscreants vandalized the cross sign of a church in Barguna and left a mural reading "This country is not for Christians".</v>
      </c>
      <c r="D3082" s="5"/>
      <c r="E3082" s="5"/>
      <c r="F3082" s="5"/>
      <c r="G3082" s="5"/>
      <c r="H3082" s="5"/>
      <c r="I3082" s="5"/>
      <c r="J3082" s="5"/>
      <c r="K3082" s="5"/>
      <c r="L3082" s="5"/>
      <c r="M3082" s="5"/>
      <c r="N3082" s="5"/>
      <c r="O3082" s="5"/>
      <c r="P3082" s="5"/>
      <c r="Q3082" s="5"/>
      <c r="R3082" s="5"/>
      <c r="S3082" s="5"/>
      <c r="T3082" s="5"/>
      <c r="U3082" s="5"/>
      <c r="V3082" s="5"/>
      <c r="W3082" s="5"/>
      <c r="X3082" s="5"/>
      <c r="Y3082" s="5"/>
      <c r="Z3082" s="5"/>
    </row>
    <row r="3083" spans="1:26" ht="15.6" x14ac:dyDescent="0.3">
      <c r="A3083" s="18" t="s">
        <v>5</v>
      </c>
      <c r="B3083" s="24" t="s">
        <v>3074</v>
      </c>
      <c r="C3083" s="2" t="str">
        <f ca="1">IFERROR(__xludf.DUMMYFUNCTION("GOOGLETRANSLATE(B3083, ""bn"", ""en"")"),"In Nilphamari, 40 people were killed in clashes due to religious tensions. As police failed to quell the violence, the government called for calm. Many minority families leave the village for safety.")</f>
        <v>In Nilphamari, 40 people were killed in clashes due to religious tensions. As police failed to quell the violence, the government called for calm. Many minority families leave the village for safety.</v>
      </c>
      <c r="D3083" s="5"/>
      <c r="E3083" s="5"/>
      <c r="F3083" s="5"/>
      <c r="G3083" s="5"/>
      <c r="H3083" s="5"/>
      <c r="I3083" s="5"/>
      <c r="J3083" s="5"/>
      <c r="K3083" s="5"/>
      <c r="L3083" s="5"/>
      <c r="M3083" s="5"/>
      <c r="N3083" s="5"/>
      <c r="O3083" s="5"/>
      <c r="P3083" s="5"/>
      <c r="Q3083" s="5"/>
      <c r="R3083" s="5"/>
      <c r="S3083" s="5"/>
      <c r="T3083" s="5"/>
      <c r="U3083" s="5"/>
      <c r="V3083" s="5"/>
      <c r="W3083" s="5"/>
      <c r="X3083" s="5"/>
      <c r="Y3083" s="5"/>
      <c r="Z3083" s="5"/>
    </row>
    <row r="3084" spans="1:26" ht="15.6" x14ac:dyDescent="0.3">
      <c r="A3084" s="18" t="s">
        <v>8</v>
      </c>
      <c r="B3084" s="25" t="s">
        <v>3075</v>
      </c>
      <c r="C3084" s="2" t="str">
        <f ca="1">IFERROR(__xludf.DUMMYFUNCTION("GOOGLETRANSLATE(B3084, ""bn"", ""en"")"),"On March 5, Jamaat-Shibir and BNP workers burnt down eight Hindu houses in Khulna. Around midnight on March 12, miscreants vandalized 23 idols of Lord Shiva at the Angita cremation temple in Kaliganj upazila of Jhenaidah district.")</f>
        <v>On March 5, Jamaat-Shibir and BNP workers burnt down eight Hindu houses in Khulna. Around midnight on March 12, miscreants vandalized 23 idols of Lord Shiva at the Angita cremation temple in Kaliganj upazila of Jhenaidah district.</v>
      </c>
      <c r="D3084" s="6"/>
      <c r="E3084" s="6"/>
      <c r="F3084" s="2"/>
      <c r="G3084" s="2"/>
      <c r="H3084" s="3"/>
      <c r="I3084" s="3"/>
      <c r="J3084" s="3"/>
      <c r="K3084" s="3"/>
      <c r="L3084" s="3"/>
      <c r="M3084" s="3"/>
      <c r="N3084" s="3"/>
      <c r="O3084" s="3"/>
      <c r="P3084" s="3"/>
      <c r="Q3084" s="3"/>
      <c r="R3084" s="3"/>
      <c r="S3084" s="3"/>
      <c r="T3084" s="3"/>
      <c r="U3084" s="3"/>
      <c r="V3084" s="3"/>
      <c r="W3084" s="3"/>
      <c r="X3084" s="3"/>
      <c r="Y3084" s="3"/>
      <c r="Z3084" s="3"/>
    </row>
    <row r="3085" spans="1:26" ht="15.6" x14ac:dyDescent="0.3">
      <c r="A3085" s="19" t="s">
        <v>23</v>
      </c>
      <c r="B3085" s="26" t="s">
        <v>3076</v>
      </c>
      <c r="C3085" s="2" t="str">
        <f ca="1">IFERROR(__xludf.DUMMYFUNCTION("GOOGLETRANSLATE(B3085, ""bn"", ""en"")"),"8 to 10,000 radical fanatics gathered and blocked the Rangpur-Dinajpur highway, which continued till evening and disrupted passenger and vehicular movement.")</f>
        <v>8 to 10,000 radical fanatics gathered and blocked the Rangpur-Dinajpur highway, which continued till evening and disrupted passenger and vehicular movement.</v>
      </c>
      <c r="D3085" s="7"/>
      <c r="E3085" s="7"/>
      <c r="F3085" s="7"/>
      <c r="G3085" s="7"/>
      <c r="H3085" s="7"/>
      <c r="I3085" s="7"/>
      <c r="J3085" s="7"/>
      <c r="K3085" s="7"/>
      <c r="L3085" s="7"/>
      <c r="M3085" s="7"/>
      <c r="N3085" s="5"/>
      <c r="O3085" s="5"/>
      <c r="P3085" s="5"/>
      <c r="Q3085" s="5"/>
      <c r="R3085" s="5"/>
      <c r="S3085" s="5"/>
      <c r="T3085" s="5"/>
      <c r="U3085" s="5"/>
      <c r="V3085" s="5"/>
      <c r="W3085" s="5"/>
      <c r="X3085" s="5"/>
      <c r="Y3085" s="5"/>
      <c r="Z3085" s="5"/>
    </row>
    <row r="3086" spans="1:26" ht="15.6" x14ac:dyDescent="0.3">
      <c r="A3086" s="18" t="s">
        <v>3</v>
      </c>
      <c r="B3086" s="25" t="s">
        <v>3077</v>
      </c>
      <c r="C3086" s="2" t="str">
        <f ca="1">IFERROR(__xludf.DUMMYFUNCTION("GOOGLETRANSLATE(B3086, ""bn"", ""en"")"),"Allah commands kindness to animals, because they bring benefits to mankind and maintain the balance of creation.")</f>
        <v>Allah commands kindness to animals, because they bring benefits to mankind and maintain the balance of creation.</v>
      </c>
      <c r="D3086" s="2"/>
      <c r="E3086" s="2"/>
      <c r="F3086" s="2"/>
      <c r="G3086" s="2"/>
      <c r="H3086" s="3"/>
      <c r="I3086" s="3"/>
      <c r="J3086" s="3"/>
      <c r="K3086" s="3"/>
      <c r="L3086" s="3"/>
      <c r="M3086" s="3"/>
      <c r="N3086" s="3"/>
      <c r="O3086" s="3"/>
      <c r="P3086" s="3"/>
      <c r="Q3086" s="3"/>
      <c r="R3086" s="3"/>
      <c r="S3086" s="3"/>
      <c r="T3086" s="3"/>
      <c r="U3086" s="3"/>
      <c r="V3086" s="3"/>
      <c r="W3086" s="3"/>
      <c r="X3086" s="3"/>
      <c r="Y3086" s="3"/>
      <c r="Z3086" s="3"/>
    </row>
    <row r="3087" spans="1:26" ht="15.6" x14ac:dyDescent="0.3">
      <c r="A3087" s="18" t="s">
        <v>5</v>
      </c>
      <c r="B3087" s="25" t="s">
        <v>3078</v>
      </c>
      <c r="C3087" s="2" t="str">
        <f ca="1">IFERROR(__xludf.DUMMYFUNCTION("GOOGLETRANSLATE(B3087, ""bn"", ""en"")"),"The massacres in Noakhali and Tippera districts in October 1946 are considered a stigmatized aftermath of the Great Calcutta Killings.")</f>
        <v>The massacres in Noakhali and Tippera districts in October 1946 are considered a stigmatized aftermath of the Great Calcutta Killings.</v>
      </c>
      <c r="D3087" s="5"/>
      <c r="E3087" s="5"/>
      <c r="F3087" s="5"/>
      <c r="G3087" s="5"/>
      <c r="H3087" s="5"/>
      <c r="I3087" s="5"/>
      <c r="J3087" s="5"/>
      <c r="K3087" s="5"/>
      <c r="L3087" s="5"/>
      <c r="M3087" s="5"/>
      <c r="N3087" s="5"/>
      <c r="O3087" s="5"/>
      <c r="P3087" s="5"/>
      <c r="Q3087" s="5"/>
      <c r="R3087" s="5"/>
      <c r="S3087" s="5"/>
      <c r="T3087" s="5"/>
      <c r="U3087" s="5"/>
      <c r="V3087" s="5"/>
      <c r="W3087" s="5"/>
      <c r="X3087" s="5"/>
      <c r="Y3087" s="5"/>
      <c r="Z3087" s="5"/>
    </row>
    <row r="3088" spans="1:26" ht="15.6" x14ac:dyDescent="0.3">
      <c r="A3088" s="19" t="s">
        <v>23</v>
      </c>
      <c r="B3088" s="26" t="s">
        <v>3079</v>
      </c>
      <c r="C3088" s="2" t="str">
        <f ca="1">IFERROR(__xludf.DUMMYFUNCTION("GOOGLETRANSLATE(B3088, ""bn"", ""en"")"),"O Allah, You protect Your Holy Qur'an and send down wrath on these infidels.")</f>
        <v>O Allah, You protect Your Holy Qur'an and send down wrath on these infidels.</v>
      </c>
      <c r="D3088" s="5"/>
      <c r="E3088" s="5"/>
      <c r="F3088" s="5"/>
      <c r="G3088" s="5"/>
      <c r="H3088" s="5"/>
      <c r="I3088" s="5"/>
      <c r="J3088" s="5"/>
      <c r="K3088" s="5"/>
      <c r="L3088" s="5"/>
      <c r="M3088" s="5"/>
      <c r="N3088" s="5"/>
      <c r="O3088" s="5"/>
      <c r="P3088" s="5"/>
      <c r="Q3088" s="5"/>
      <c r="R3088" s="5"/>
      <c r="S3088" s="5"/>
      <c r="T3088" s="5"/>
      <c r="U3088" s="5"/>
      <c r="V3088" s="5"/>
      <c r="W3088" s="5"/>
      <c r="X3088" s="5"/>
      <c r="Y3088" s="5"/>
      <c r="Z3088" s="5"/>
    </row>
    <row r="3089" spans="1:26" ht="15.6" x14ac:dyDescent="0.3">
      <c r="A3089" s="19" t="s">
        <v>23</v>
      </c>
      <c r="B3089" s="26" t="s">
        <v>3080</v>
      </c>
      <c r="C3089" s="2" t="str">
        <f ca="1">IFERROR(__xludf.DUMMYFUNCTION("GOOGLETRANSLATE(B3089, ""bn"", ""en"")"),"Communal violence and killings have occurred in many countries due to the spread of fake news on social media including Facebook.")</f>
        <v>Communal violence and killings have occurred in many countries due to the spread of fake news on social media including Facebook.</v>
      </c>
      <c r="D3089" s="7"/>
      <c r="E3089" s="7"/>
      <c r="F3089" s="7"/>
      <c r="G3089" s="7"/>
      <c r="H3089" s="5"/>
      <c r="I3089" s="5"/>
      <c r="J3089" s="5"/>
      <c r="K3089" s="5"/>
      <c r="L3089" s="5"/>
      <c r="M3089" s="5"/>
      <c r="N3089" s="5"/>
      <c r="O3089" s="5"/>
      <c r="P3089" s="5"/>
      <c r="Q3089" s="5"/>
      <c r="R3089" s="5"/>
      <c r="S3089" s="5"/>
      <c r="T3089" s="5"/>
      <c r="U3089" s="5"/>
      <c r="V3089" s="5"/>
      <c r="W3089" s="5"/>
      <c r="X3089" s="5"/>
      <c r="Y3089" s="5"/>
      <c r="Z3089" s="5"/>
    </row>
    <row r="3090" spans="1:26" ht="15.6" x14ac:dyDescent="0.3">
      <c r="A3090" s="19" t="s">
        <v>5</v>
      </c>
      <c r="B3090" s="26" t="s">
        <v>3081</v>
      </c>
      <c r="C3090" s="2" t="str">
        <f ca="1">IFERROR(__xludf.DUMMYFUNCTION("GOOGLETRANSLATE(B3090, ""bn"", ""en"")"),"Three days after the demolition of the Ramana temple, around 14 charred and decomposing bodies were found inside the destroyed temple and ashram.")</f>
        <v>Three days after the demolition of the Ramana temple, around 14 charred and decomposing bodies were found inside the destroyed temple and ashram.</v>
      </c>
      <c r="D3090" s="7"/>
      <c r="E3090" s="7"/>
      <c r="F3090" s="7"/>
      <c r="G3090" s="7"/>
      <c r="H3090" s="7"/>
      <c r="I3090" s="7"/>
      <c r="J3090" s="7"/>
      <c r="K3090" s="5"/>
      <c r="L3090" s="5"/>
      <c r="M3090" s="5"/>
      <c r="N3090" s="5"/>
      <c r="O3090" s="5"/>
      <c r="P3090" s="5"/>
      <c r="Q3090" s="5"/>
      <c r="R3090" s="5"/>
      <c r="S3090" s="5"/>
      <c r="T3090" s="5"/>
      <c r="U3090" s="5"/>
      <c r="V3090" s="5"/>
      <c r="W3090" s="5"/>
      <c r="X3090" s="5"/>
      <c r="Y3090" s="5"/>
      <c r="Z3090" s="5"/>
    </row>
    <row r="3091" spans="1:26" ht="15.6" x14ac:dyDescent="0.3">
      <c r="A3091" s="19" t="s">
        <v>23</v>
      </c>
      <c r="B3091" s="26" t="s">
        <v>3082</v>
      </c>
      <c r="C3091" s="2" t="str">
        <f ca="1">IFERROR(__xludf.DUMMYFUNCTION("GOOGLETRANSLATE(B3091, ""bn"", ""en"")"),"Like many secular Muslims, they are enemies of Islam; Secularism is the greatest enemy of Islam in the present era.")</f>
        <v>Like many secular Muslims, they are enemies of Islam; Secularism is the greatest enemy of Islam in the present era.</v>
      </c>
      <c r="D3091" s="7"/>
      <c r="E3091" s="7"/>
      <c r="F3091" s="7"/>
      <c r="G3091" s="7"/>
      <c r="H3091" s="5"/>
      <c r="I3091" s="5"/>
      <c r="J3091" s="5"/>
      <c r="K3091" s="5"/>
      <c r="L3091" s="5"/>
      <c r="M3091" s="5"/>
      <c r="N3091" s="5"/>
      <c r="O3091" s="5"/>
      <c r="P3091" s="5"/>
      <c r="Q3091" s="5"/>
      <c r="R3091" s="5"/>
      <c r="S3091" s="5"/>
      <c r="T3091" s="5"/>
      <c r="U3091" s="5"/>
      <c r="V3091" s="5"/>
      <c r="W3091" s="5"/>
      <c r="X3091" s="5"/>
      <c r="Y3091" s="5"/>
      <c r="Z3091" s="5"/>
    </row>
    <row r="3092" spans="1:26" ht="15.6" x14ac:dyDescent="0.3">
      <c r="A3092" s="18" t="s">
        <v>3</v>
      </c>
      <c r="B3092" s="25" t="s">
        <v>3083</v>
      </c>
      <c r="C3092" s="2" t="str">
        <f ca="1">IFERROR(__xludf.DUMMYFUNCTION("GOOGLETRANSLATE(B3092, ""bn"", ""en"")"),"Whoever recites a letter of the Book of Allah Ta'ala has its reward. And the reward is tenfold. I do not say that Alif-Lam-Meem is a letter, but Alif is a letter, Lam is a letter and Meem is a letter.'")</f>
        <v>Whoever recites a letter of the Book of Allah Ta'ala has its reward. And the reward is tenfold. I do not say that Alif-Lam-Meem is a letter, but Alif is a letter, Lam is a letter and Meem is a letter.'</v>
      </c>
      <c r="D3092" s="5"/>
      <c r="E3092" s="5"/>
      <c r="F3092" s="5"/>
      <c r="G3092" s="5"/>
      <c r="H3092" s="5"/>
      <c r="I3092" s="5"/>
      <c r="J3092" s="5"/>
      <c r="K3092" s="5"/>
      <c r="L3092" s="5"/>
      <c r="M3092" s="5"/>
      <c r="N3092" s="5"/>
      <c r="O3092" s="5"/>
      <c r="P3092" s="5"/>
      <c r="Q3092" s="5"/>
      <c r="R3092" s="5"/>
      <c r="S3092" s="5"/>
      <c r="T3092" s="5"/>
      <c r="U3092" s="5"/>
      <c r="V3092" s="5"/>
      <c r="W3092" s="5"/>
      <c r="X3092" s="5"/>
      <c r="Y3092" s="5"/>
      <c r="Z3092" s="5"/>
    </row>
    <row r="3093" spans="1:26" ht="15.6" x14ac:dyDescent="0.3">
      <c r="A3093" s="18" t="s">
        <v>5</v>
      </c>
      <c r="B3093" s="24" t="s">
        <v>3084</v>
      </c>
      <c r="C3093" s="2" t="str">
        <f ca="1">IFERROR(__xludf.DUMMYFUNCTION("GOOGLETRANSLATE(B3093, ""bn"", ""en"")"),"43 people lost their lives in clashes due to religious hatred in Sunamganj. As police failed to stop the violence, the government called for calm. Many families are homeless due to insecurity.")</f>
        <v>43 people lost their lives in clashes due to religious hatred in Sunamganj. As police failed to stop the violence, the government called for calm. Many families are homeless due to insecurity.</v>
      </c>
      <c r="D3093" s="5"/>
      <c r="E3093" s="5"/>
      <c r="F3093" s="5"/>
      <c r="G3093" s="5"/>
      <c r="H3093" s="5"/>
      <c r="I3093" s="5"/>
      <c r="J3093" s="5"/>
      <c r="K3093" s="5"/>
      <c r="L3093" s="5"/>
      <c r="M3093" s="5"/>
      <c r="N3093" s="5"/>
      <c r="O3093" s="5"/>
      <c r="P3093" s="5"/>
      <c r="Q3093" s="5"/>
      <c r="R3093" s="5"/>
      <c r="S3093" s="5"/>
      <c r="T3093" s="5"/>
      <c r="U3093" s="5"/>
      <c r="V3093" s="5"/>
      <c r="W3093" s="5"/>
      <c r="X3093" s="5"/>
      <c r="Y3093" s="5"/>
      <c r="Z3093" s="5"/>
    </row>
    <row r="3094" spans="1:26" ht="15.6" x14ac:dyDescent="0.3">
      <c r="A3094" s="18" t="s">
        <v>8</v>
      </c>
      <c r="B3094" s="25" t="s">
        <v>3085</v>
      </c>
      <c r="C3094" s="2" t="str">
        <f ca="1">IFERROR(__xludf.DUMMYFUNCTION("GOOGLETRANSLATE(B3094, ""bn"", ""en"")"),"Muslims also set fire to Chittagong Medical College. 50 fishermen set fire to the straw house of the family. A Hindu-owned garage was attacked and five cars looted.")</f>
        <v>Muslims also set fire to Chittagong Medical College. 50 fishermen set fire to the straw house of the family. A Hindu-owned garage was attacked and five cars looted.</v>
      </c>
      <c r="D3094" s="5"/>
      <c r="E3094" s="5"/>
      <c r="F3094" s="5"/>
      <c r="G3094" s="5"/>
      <c r="H3094" s="5"/>
      <c r="I3094" s="5"/>
      <c r="J3094" s="5"/>
      <c r="K3094" s="5"/>
      <c r="L3094" s="5"/>
      <c r="M3094" s="5"/>
      <c r="N3094" s="5"/>
      <c r="O3094" s="5"/>
      <c r="P3094" s="5"/>
      <c r="Q3094" s="5"/>
      <c r="R3094" s="5"/>
      <c r="S3094" s="5"/>
      <c r="T3094" s="5"/>
      <c r="U3094" s="5"/>
      <c r="V3094" s="5"/>
      <c r="W3094" s="5"/>
      <c r="X3094" s="5"/>
      <c r="Y3094" s="5"/>
      <c r="Z3094" s="5"/>
    </row>
    <row r="3095" spans="1:26" ht="15.6" x14ac:dyDescent="0.3">
      <c r="A3095" s="19" t="s">
        <v>3</v>
      </c>
      <c r="B3095" s="26" t="s">
        <v>3086</v>
      </c>
      <c r="C3095" s="2" t="str">
        <f ca="1">IFERROR(__xludf.DUMMYFUNCTION("GOOGLETRANSLATE(B3095, ""bn"", ""en"")"),"Due to the stoppage of the construction work of the mosque in Dinajpur, the prayers of about 400 Muslims have been disrupted, causing anger among the villagers.")</f>
        <v>Due to the stoppage of the construction work of the mosque in Dinajpur, the prayers of about 400 Muslims have been disrupted, causing anger among the villagers.</v>
      </c>
      <c r="D3095" s="7"/>
      <c r="E3095" s="7"/>
      <c r="F3095" s="7"/>
      <c r="G3095" s="7"/>
      <c r="H3095" s="7"/>
      <c r="I3095" s="5"/>
      <c r="J3095" s="5"/>
      <c r="K3095" s="5"/>
      <c r="L3095" s="5"/>
      <c r="M3095" s="5"/>
      <c r="N3095" s="5"/>
      <c r="O3095" s="5"/>
      <c r="P3095" s="5"/>
      <c r="Q3095" s="5"/>
      <c r="R3095" s="5"/>
      <c r="S3095" s="5"/>
      <c r="T3095" s="5"/>
      <c r="U3095" s="5"/>
      <c r="V3095" s="5"/>
      <c r="W3095" s="5"/>
      <c r="X3095" s="5"/>
      <c r="Y3095" s="5"/>
      <c r="Z3095" s="5"/>
    </row>
    <row r="3096" spans="1:26" ht="15.6" x14ac:dyDescent="0.3">
      <c r="A3096" s="18" t="s">
        <v>5</v>
      </c>
      <c r="B3096" s="25" t="s">
        <v>3087</v>
      </c>
      <c r="C3096" s="2" t="str">
        <f ca="1">IFERROR(__xludf.DUMMYFUNCTION("GOOGLETRANSLATE(B3096, ""bn"", ""en"")"),"Blind faith and fanaticism have made people violent, resulting in the loss of many lives due to religious hatred.")</f>
        <v>Blind faith and fanaticism have made people violent, resulting in the loss of many lives due to religious hatred.</v>
      </c>
      <c r="D3096" s="2"/>
      <c r="E3096" s="2"/>
      <c r="F3096" s="2"/>
      <c r="G3096" s="2"/>
      <c r="H3096" s="3"/>
      <c r="I3096" s="3"/>
      <c r="J3096" s="3"/>
      <c r="K3096" s="3"/>
      <c r="L3096" s="3"/>
      <c r="M3096" s="3"/>
      <c r="N3096" s="3"/>
      <c r="O3096" s="3"/>
      <c r="P3096" s="3"/>
      <c r="Q3096" s="3"/>
      <c r="R3096" s="3"/>
      <c r="S3096" s="3"/>
      <c r="T3096" s="3"/>
      <c r="U3096" s="3"/>
      <c r="V3096" s="3"/>
      <c r="W3096" s="3"/>
      <c r="X3096" s="3"/>
      <c r="Y3096" s="3"/>
      <c r="Z3096" s="3"/>
    </row>
    <row r="3097" spans="1:26" ht="15.6" x14ac:dyDescent="0.3">
      <c r="A3097" s="18" t="s">
        <v>8</v>
      </c>
      <c r="B3097" s="25" t="s">
        <v>3088</v>
      </c>
      <c r="C3097" s="2" t="str">
        <f ca="1">IFERROR(__xludf.DUMMYFUNCTION("GOOGLETRANSLATE(B3097, ""bn"", ""en"")"),"Excitement spread when a Quran was placed on an idol in a pujamandap. Facebook Live followed by attacks, vandalism of idols—hurting religious sentiments and spreading violence.")</f>
        <v>Excitement spread when a Quran was placed on an idol in a pujamandap. Facebook Live followed by attacks, vandalism of idols—hurting religious sentiments and spreading violence.</v>
      </c>
      <c r="D3097" s="5"/>
      <c r="E3097" s="5"/>
      <c r="F3097" s="5"/>
      <c r="G3097" s="5"/>
      <c r="H3097" s="5"/>
      <c r="I3097" s="5"/>
      <c r="J3097" s="5"/>
      <c r="K3097" s="5"/>
      <c r="L3097" s="5"/>
      <c r="M3097" s="5"/>
      <c r="N3097" s="5"/>
      <c r="O3097" s="5"/>
      <c r="P3097" s="5"/>
      <c r="Q3097" s="5"/>
      <c r="R3097" s="5"/>
      <c r="S3097" s="5"/>
      <c r="T3097" s="5"/>
      <c r="U3097" s="5"/>
      <c r="V3097" s="5"/>
      <c r="W3097" s="5"/>
      <c r="X3097" s="5"/>
      <c r="Y3097" s="5"/>
      <c r="Z3097" s="5"/>
    </row>
    <row r="3098" spans="1:26" ht="15.6" x14ac:dyDescent="0.3">
      <c r="A3098" s="18" t="s">
        <v>23</v>
      </c>
      <c r="B3098" s="24" t="s">
        <v>3089</v>
      </c>
      <c r="C3098" s="2" t="str">
        <f ca="1">IFERROR(__xludf.DUMMYFUNCTION("GOOGLETRANSLATE(B3098, ""bn"", ""en"")"),"Christian missionaries created divisions in the society and destroyed the unity of the country in the name of conversion.")</f>
        <v>Christian missionaries created divisions in the society and destroyed the unity of the country in the name of conversion.</v>
      </c>
      <c r="D3098" s="5"/>
      <c r="E3098" s="5"/>
      <c r="F3098" s="5"/>
      <c r="G3098" s="5"/>
      <c r="H3098" s="5"/>
      <c r="I3098" s="5"/>
      <c r="J3098" s="5"/>
      <c r="K3098" s="5"/>
      <c r="L3098" s="5"/>
      <c r="M3098" s="5"/>
      <c r="N3098" s="5"/>
      <c r="O3098" s="5"/>
      <c r="P3098" s="5"/>
      <c r="Q3098" s="5"/>
      <c r="R3098" s="5"/>
      <c r="S3098" s="5"/>
      <c r="T3098" s="5"/>
      <c r="U3098" s="5"/>
      <c r="V3098" s="5"/>
      <c r="W3098" s="5"/>
      <c r="X3098" s="5"/>
      <c r="Y3098" s="5"/>
      <c r="Z3098" s="5"/>
    </row>
    <row r="3099" spans="1:26" ht="15.6" x14ac:dyDescent="0.3">
      <c r="A3099" s="18" t="s">
        <v>3</v>
      </c>
      <c r="B3099" s="25" t="s">
        <v>3090</v>
      </c>
      <c r="C3099" s="2" t="str">
        <f ca="1">IFERROR(__xludf.DUMMYFUNCTION("GOOGLETRANSLATE(B3099, ""bn"", ""en"")"),"May Allah grant you long life. So that we can get more such lectures in the future. May Allah reward you with charity")</f>
        <v>May Allah grant you long life. So that we can get more such lectures in the future. May Allah reward you with charity</v>
      </c>
      <c r="D3099" s="5"/>
      <c r="E3099" s="5"/>
      <c r="F3099" s="5"/>
      <c r="G3099" s="5"/>
      <c r="H3099" s="5"/>
      <c r="I3099" s="5"/>
      <c r="J3099" s="5"/>
      <c r="K3099" s="5"/>
      <c r="L3099" s="5"/>
      <c r="M3099" s="5"/>
      <c r="N3099" s="5"/>
      <c r="O3099" s="5"/>
      <c r="P3099" s="5"/>
      <c r="Q3099" s="5"/>
      <c r="R3099" s="5"/>
      <c r="S3099" s="5"/>
      <c r="T3099" s="5"/>
      <c r="U3099" s="5"/>
      <c r="V3099" s="5"/>
      <c r="W3099" s="5"/>
      <c r="X3099" s="5"/>
      <c r="Y3099" s="5"/>
      <c r="Z3099" s="5"/>
    </row>
    <row r="3100" spans="1:26" ht="15.6" x14ac:dyDescent="0.3">
      <c r="A3100" s="18" t="s">
        <v>8</v>
      </c>
      <c r="B3100" s="25" t="s">
        <v>3091</v>
      </c>
      <c r="C3100" s="2" t="str">
        <f ca="1">IFERROR(__xludf.DUMMYFUNCTION("GOOGLETRANSLATE(B3100, ""bn"", ""en"")"),"We will assume that the government party is involved in the idol vandalism incident. This incident is just a political trick. Not only that, none of the incidents that happened in the country during the tenure of this government were prosecuted. Those who"&amp;" filed the case are in jail, and those who destroyed the temple are out.'")</f>
        <v>We will assume that the government party is involved in the idol vandalism incident. This incident is just a political trick. Not only that, none of the incidents that happened in the country during the tenure of this government were prosecuted. Those who filed the case are in jail, and those who destroyed the temple are out.'</v>
      </c>
      <c r="D3100" s="5"/>
      <c r="E3100" s="5"/>
      <c r="F3100" s="5"/>
      <c r="G3100" s="5"/>
      <c r="H3100" s="5"/>
      <c r="I3100" s="5"/>
      <c r="J3100" s="5"/>
      <c r="K3100" s="5"/>
      <c r="L3100" s="5"/>
      <c r="M3100" s="5"/>
      <c r="N3100" s="5"/>
      <c r="O3100" s="5"/>
      <c r="P3100" s="5"/>
      <c r="Q3100" s="5"/>
      <c r="R3100" s="5"/>
      <c r="S3100" s="5"/>
      <c r="T3100" s="5"/>
      <c r="U3100" s="5"/>
      <c r="V3100" s="5"/>
      <c r="W3100" s="5"/>
      <c r="X3100" s="5"/>
      <c r="Y3100" s="5"/>
      <c r="Z3100" s="5"/>
    </row>
    <row r="3101" spans="1:26" ht="15.6" x14ac:dyDescent="0.3">
      <c r="A3101" s="18" t="s">
        <v>8</v>
      </c>
      <c r="B3101" s="24" t="s">
        <v>3092</v>
      </c>
      <c r="C3101" s="2" t="str">
        <f ca="1">IFERROR(__xludf.DUMMYFUNCTION("GOOGLETRANSLATE(B3101, ""bn"", ""en"")"),"In Rajshahi miscreants broke drums, bells and other musical instruments in front of the mandap statue.")</f>
        <v>In Rajshahi miscreants broke drums, bells and other musical instruments in front of the mandap statue.</v>
      </c>
      <c r="D3101" s="5"/>
      <c r="E3101" s="5"/>
      <c r="F3101" s="5"/>
      <c r="G3101" s="5"/>
      <c r="H3101" s="5"/>
      <c r="I3101" s="5"/>
      <c r="J3101" s="5"/>
      <c r="K3101" s="5"/>
      <c r="L3101" s="5"/>
      <c r="M3101" s="5"/>
      <c r="N3101" s="5"/>
      <c r="O3101" s="5"/>
      <c r="P3101" s="5"/>
      <c r="Q3101" s="5"/>
      <c r="R3101" s="5"/>
      <c r="S3101" s="5"/>
      <c r="T3101" s="5"/>
      <c r="U3101" s="5"/>
      <c r="V3101" s="5"/>
      <c r="W3101" s="5"/>
      <c r="X3101" s="5"/>
      <c r="Y3101" s="5"/>
      <c r="Z3101" s="5"/>
    </row>
    <row r="3102" spans="1:26" ht="15.6" x14ac:dyDescent="0.3">
      <c r="A3102" s="18" t="s">
        <v>3</v>
      </c>
      <c r="B3102" s="25" t="s">
        <v>3093</v>
      </c>
      <c r="C3102" s="2" t="str">
        <f ca="1">IFERROR(__xludf.DUMMYFUNCTION("GOOGLETRANSLATE(B3102, ""bn"", ""en"")"),"Shabbat is considered a major festival in Southeast Asia, where Muslims worship collectively and seek forgiveness for their wrongdoings.")</f>
        <v>Shabbat is considered a major festival in Southeast Asia, where Muslims worship collectively and seek forgiveness for their wrongdoings.</v>
      </c>
      <c r="D3102" s="5"/>
      <c r="E3102" s="5"/>
      <c r="F3102" s="5"/>
      <c r="G3102" s="5"/>
      <c r="H3102" s="5"/>
      <c r="I3102" s="5"/>
      <c r="J3102" s="5"/>
      <c r="K3102" s="5"/>
      <c r="L3102" s="5"/>
      <c r="M3102" s="5"/>
      <c r="N3102" s="5"/>
      <c r="O3102" s="5"/>
      <c r="P3102" s="5"/>
      <c r="Q3102" s="5"/>
      <c r="R3102" s="5"/>
      <c r="S3102" s="5"/>
      <c r="T3102" s="5"/>
      <c r="U3102" s="5"/>
      <c r="V3102" s="5"/>
      <c r="W3102" s="5"/>
      <c r="X3102" s="5"/>
      <c r="Y3102" s="5"/>
      <c r="Z3102" s="5"/>
    </row>
    <row r="3103" spans="1:26" ht="15.6" x14ac:dyDescent="0.3">
      <c r="A3103" s="18" t="s">
        <v>23</v>
      </c>
      <c r="B3103" s="25" t="s">
        <v>3094</v>
      </c>
      <c r="C3103" s="2" t="str">
        <f ca="1">IFERROR(__xludf.DUMMYFUNCTION("GOOGLETRANSLATE(B3103, ""bn"", ""en"")"),"Strongly condemn those who insult the Holy Quran. I demand severe punishment.")</f>
        <v>Strongly condemn those who insult the Holy Quran. I demand severe punishment.</v>
      </c>
      <c r="D3103" s="2"/>
      <c r="E3103" s="2"/>
      <c r="F3103" s="2"/>
      <c r="G3103" s="2"/>
      <c r="H3103" s="3"/>
      <c r="I3103" s="3"/>
      <c r="J3103" s="3"/>
      <c r="K3103" s="3"/>
      <c r="L3103" s="3"/>
      <c r="M3103" s="3"/>
      <c r="N3103" s="3"/>
      <c r="O3103" s="3"/>
      <c r="P3103" s="3"/>
      <c r="Q3103" s="3"/>
      <c r="R3103" s="3"/>
      <c r="S3103" s="3"/>
      <c r="T3103" s="3"/>
      <c r="U3103" s="3"/>
      <c r="V3103" s="3"/>
      <c r="W3103" s="3"/>
      <c r="X3103" s="3"/>
      <c r="Y3103" s="3"/>
      <c r="Z3103" s="3"/>
    </row>
    <row r="3104" spans="1:26" ht="15.6" x14ac:dyDescent="0.3">
      <c r="A3104" s="18" t="s">
        <v>23</v>
      </c>
      <c r="B3104" s="25" t="s">
        <v>3095</v>
      </c>
      <c r="C3104" s="2" t="str">
        <f ca="1">IFERROR(__xludf.DUMMYFUNCTION("GOOGLETRANSLATE(B3104, ""bn"", ""en"")"),"O Allah, protect Your Qur'an Sharif with Your own hand, Ameen. And you yourself will punish the person who burned the Qur'an Sharif, so that all the people of the world will understand.")</f>
        <v>O Allah, protect Your Qur'an Sharif with Your own hand, Ameen. And you yourself will punish the person who burned the Qur'an Sharif, so that all the people of the world will understand.</v>
      </c>
      <c r="D3104" s="2"/>
      <c r="E3104" s="2"/>
      <c r="F3104" s="2"/>
      <c r="G3104" s="2"/>
      <c r="H3104" s="3"/>
      <c r="I3104" s="3"/>
      <c r="J3104" s="3"/>
      <c r="K3104" s="3"/>
      <c r="L3104" s="3"/>
      <c r="M3104" s="3"/>
      <c r="N3104" s="3"/>
      <c r="O3104" s="3"/>
      <c r="P3104" s="3"/>
      <c r="Q3104" s="3"/>
      <c r="R3104" s="3"/>
      <c r="S3104" s="3"/>
      <c r="T3104" s="3"/>
      <c r="U3104" s="3"/>
      <c r="V3104" s="3"/>
      <c r="W3104" s="3"/>
      <c r="X3104" s="3"/>
      <c r="Y3104" s="3"/>
      <c r="Z3104" s="3"/>
    </row>
    <row r="3105" spans="1:26" ht="15.6" x14ac:dyDescent="0.3">
      <c r="A3105" s="19" t="s">
        <v>23</v>
      </c>
      <c r="B3105" s="26" t="s">
        <v>3096</v>
      </c>
      <c r="C3105" s="2" t="str">
        <f ca="1">IFERROR(__xludf.DUMMYFUNCTION("GOOGLETRANSLATE(B3105, ""bn"", ""en"")"),"The peace-loving people of the Hindu community of Bangladesh should keep a close eye on those who have lamented over the victory of Mamata in West Bengal and the defeat of the extremist Muslim anti-riot BJP, lamenting that the Muslim community has been lo"&amp;"st in the other side of Bengal, and the peace-loving Muslims of Bangladesh should keep a close eye on the rulers and their agencies wearing the garb of secularism. May all the creatures of the world be happy.")</f>
        <v>The peace-loving people of the Hindu community of Bangladesh should keep a close eye on those who have lamented over the victory of Mamata in West Bengal and the defeat of the extremist Muslim anti-riot BJP, lamenting that the Muslim community has been lost in the other side of Bengal, and the peace-loving Muslims of Bangladesh should keep a close eye on the rulers and their agencies wearing the garb of secularism. May all the creatures of the world be happy.</v>
      </c>
      <c r="D3105" s="7"/>
      <c r="E3105" s="7"/>
      <c r="F3105" s="7"/>
      <c r="G3105" s="7"/>
      <c r="H3105" s="7"/>
      <c r="I3105" s="7"/>
      <c r="J3105" s="7"/>
      <c r="K3105" s="7"/>
      <c r="L3105" s="7"/>
      <c r="M3105" s="7"/>
      <c r="N3105" s="7"/>
      <c r="O3105" s="7"/>
      <c r="P3105" s="7"/>
      <c r="Q3105" s="7"/>
      <c r="R3105" s="7"/>
      <c r="S3105" s="7"/>
      <c r="T3105" s="7"/>
      <c r="U3105" s="7"/>
      <c r="V3105" s="7"/>
      <c r="W3105" s="7"/>
      <c r="X3105" s="7"/>
      <c r="Y3105" s="7"/>
      <c r="Z3105" s="7"/>
    </row>
    <row r="3106" spans="1:26" ht="15.6" x14ac:dyDescent="0.3">
      <c r="A3106" s="18" t="s">
        <v>23</v>
      </c>
      <c r="B3106" s="25" t="s">
        <v>3097</v>
      </c>
      <c r="C3106" s="2" t="str">
        <f ca="1">IFERROR(__xludf.DUMMYFUNCTION("GOOGLETRANSLATE(B3106, ""bn"", ""en"")"),"Know them; They are ferocious beasts in human form. They do not see the escape of people from the so-called kingdom of peace. Real peace will be in the way of Allah, not by ruling with guns.")</f>
        <v>Know them; They are ferocious beasts in human form. They do not see the escape of people from the so-called kingdom of peace. Real peace will be in the way of Allah, not by ruling with guns.</v>
      </c>
      <c r="D3106" s="2"/>
      <c r="E3106" s="2"/>
      <c r="F3106" s="2"/>
      <c r="G3106" s="2"/>
      <c r="H3106" s="3"/>
      <c r="I3106" s="3"/>
      <c r="J3106" s="3"/>
      <c r="K3106" s="3"/>
      <c r="L3106" s="3"/>
      <c r="M3106" s="3"/>
      <c r="N3106" s="3"/>
      <c r="O3106" s="3"/>
      <c r="P3106" s="3"/>
      <c r="Q3106" s="3"/>
      <c r="R3106" s="3"/>
      <c r="S3106" s="3"/>
      <c r="T3106" s="3"/>
      <c r="U3106" s="3"/>
      <c r="V3106" s="3"/>
      <c r="W3106" s="3"/>
      <c r="X3106" s="3"/>
      <c r="Y3106" s="3"/>
      <c r="Z3106" s="3"/>
    </row>
    <row r="3107" spans="1:26" ht="15.6" x14ac:dyDescent="0.3">
      <c r="A3107" s="18" t="s">
        <v>5</v>
      </c>
      <c r="B3107" s="25" t="s">
        <v>3098</v>
      </c>
      <c r="C3107" s="2" t="str">
        <f ca="1">IFERROR(__xludf.DUMMYFUNCTION("GOOGLETRANSLATE(B3107, ""bn"", ""en"")"),"A young man commits suicide because he could not bear the social humiliation due to the viral purposeful news distorting his religious identity. Such depravity is a modern form of religious persecution and is punishable severely.")</f>
        <v>A young man commits suicide because he could not bear the social humiliation due to the viral purposeful news distorting his religious identity. Such depravity is a modern form of religious persecution and is punishable severely.</v>
      </c>
      <c r="D3107" s="5"/>
      <c r="E3107" s="5"/>
      <c r="F3107" s="5"/>
      <c r="G3107" s="5"/>
      <c r="H3107" s="5"/>
      <c r="I3107" s="5"/>
      <c r="J3107" s="5"/>
      <c r="K3107" s="5"/>
      <c r="L3107" s="5"/>
      <c r="M3107" s="5"/>
      <c r="N3107" s="5"/>
      <c r="O3107" s="5"/>
      <c r="P3107" s="5"/>
      <c r="Q3107" s="5"/>
      <c r="R3107" s="5"/>
      <c r="S3107" s="5"/>
      <c r="T3107" s="5"/>
      <c r="U3107" s="5"/>
      <c r="V3107" s="5"/>
      <c r="W3107" s="5"/>
      <c r="X3107" s="5"/>
      <c r="Y3107" s="5"/>
      <c r="Z3107" s="5"/>
    </row>
    <row r="3108" spans="1:26" ht="15.6" x14ac:dyDescent="0.3">
      <c r="A3108" s="18" t="s">
        <v>5</v>
      </c>
      <c r="B3108" s="24" t="s">
        <v>3099</v>
      </c>
      <c r="C3108" s="2" t="str">
        <f ca="1">IFERROR(__xludf.DUMMYFUNCTION("GOOGLETRANSLATE(B3108, ""bn"", ""en"")"),"35 people were killed in religious clashes in a village in Narail; Many people were injured.")</f>
        <v>35 people were killed in religious clashes in a village in Narail; Many people were injured.</v>
      </c>
      <c r="D3108" s="5"/>
      <c r="E3108" s="5"/>
      <c r="F3108" s="5"/>
      <c r="G3108" s="5"/>
      <c r="H3108" s="5"/>
      <c r="I3108" s="5"/>
      <c r="J3108" s="5"/>
      <c r="K3108" s="5"/>
      <c r="L3108" s="5"/>
      <c r="M3108" s="5"/>
      <c r="N3108" s="5"/>
      <c r="O3108" s="5"/>
      <c r="P3108" s="5"/>
      <c r="Q3108" s="5"/>
      <c r="R3108" s="5"/>
      <c r="S3108" s="5"/>
      <c r="T3108" s="5"/>
      <c r="U3108" s="5"/>
      <c r="V3108" s="5"/>
      <c r="W3108" s="5"/>
      <c r="X3108" s="5"/>
      <c r="Y3108" s="5"/>
      <c r="Z3108" s="5"/>
    </row>
    <row r="3109" spans="1:26" ht="15.6" x14ac:dyDescent="0.3">
      <c r="A3109" s="18" t="s">
        <v>23</v>
      </c>
      <c r="B3109" s="25" t="s">
        <v>3100</v>
      </c>
      <c r="C3109" s="2" t="str">
        <f ca="1">IFERROR(__xludf.DUMMYFUNCTION("GOOGLETRANSLATE(B3109, ""bn"", ""en"")"),"The court gave this verdict in a case filed in Longadu police station of Rangamati in the year 2017 due to a Facebook post insulting the Prophet of Islam and the religion of Islam.")</f>
        <v>The court gave this verdict in a case filed in Longadu police station of Rangamati in the year 2017 due to a Facebook post insulting the Prophet of Islam and the religion of Islam.</v>
      </c>
      <c r="D3109" s="2"/>
      <c r="E3109" s="2"/>
      <c r="F3109" s="2"/>
      <c r="G3109" s="2"/>
      <c r="H3109" s="5"/>
      <c r="I3109" s="5"/>
      <c r="J3109" s="5"/>
      <c r="K3109" s="5"/>
      <c r="L3109" s="5"/>
      <c r="M3109" s="5"/>
      <c r="N3109" s="5"/>
      <c r="O3109" s="5"/>
      <c r="P3109" s="5"/>
      <c r="Q3109" s="5"/>
      <c r="R3109" s="5"/>
      <c r="S3109" s="5"/>
      <c r="T3109" s="5"/>
      <c r="U3109" s="5"/>
      <c r="V3109" s="5"/>
      <c r="W3109" s="5"/>
      <c r="X3109" s="5"/>
      <c r="Y3109" s="5"/>
      <c r="Z3109" s="5"/>
    </row>
    <row r="3110" spans="1:26" ht="15.6" x14ac:dyDescent="0.3">
      <c r="A3110" s="19" t="s">
        <v>3</v>
      </c>
      <c r="B3110" s="26" t="s">
        <v>3101</v>
      </c>
      <c r="C3110" s="2" t="str">
        <f ca="1">IFERROR(__xludf.DUMMYFUNCTION("GOOGLETRANSLATE(B3110, ""bn"", ""en"")"),"World Prophet Hazrat Muhammad SAW was a great warrior and sower of monotheism.")</f>
        <v>World Prophet Hazrat Muhammad SAW was a great warrior and sower of monotheism.</v>
      </c>
      <c r="D3110" s="7"/>
      <c r="E3110" s="5"/>
      <c r="F3110" s="5"/>
      <c r="G3110" s="5"/>
      <c r="H3110" s="5"/>
      <c r="I3110" s="5"/>
      <c r="J3110" s="5"/>
      <c r="K3110" s="5"/>
      <c r="L3110" s="5"/>
      <c r="M3110" s="5"/>
      <c r="N3110" s="5"/>
      <c r="O3110" s="5"/>
      <c r="P3110" s="5"/>
      <c r="Q3110" s="5"/>
      <c r="R3110" s="5"/>
      <c r="S3110" s="5"/>
      <c r="T3110" s="5"/>
      <c r="U3110" s="5"/>
      <c r="V3110" s="5"/>
      <c r="W3110" s="5"/>
      <c r="X3110" s="5"/>
      <c r="Y3110" s="5"/>
      <c r="Z3110" s="5"/>
    </row>
    <row r="3111" spans="1:26" ht="15.6" x14ac:dyDescent="0.3">
      <c r="A3111" s="19" t="s">
        <v>3</v>
      </c>
      <c r="B3111" s="26" t="s">
        <v>3102</v>
      </c>
      <c r="C3111" s="2" t="str">
        <f ca="1">IFERROR(__xludf.DUMMYFUNCTION("GOOGLETRANSLATE(B3111, ""bn"", ""en"")"),"Religious people will realize that there is no room for extravagance. Those who have done this are eloquent; We do not want to spoil the reputation of Islam by falling into their trap. Everyone has the right to practice their own religion. It is not good "&amp;"to spread unnecessary things on Facebook.")</f>
        <v>Religious people will realize that there is no room for extravagance. Those who have done this are eloquent; We do not want to spoil the reputation of Islam by falling into their trap. Everyone has the right to practice their own religion. It is not good to spread unnecessary things on Facebook.</v>
      </c>
      <c r="D3111" s="7"/>
      <c r="E3111" s="7"/>
      <c r="F3111" s="7"/>
      <c r="G3111" s="7"/>
      <c r="H3111" s="7"/>
      <c r="I3111" s="7"/>
      <c r="J3111" s="7"/>
      <c r="K3111" s="7"/>
      <c r="L3111" s="7"/>
      <c r="M3111" s="7"/>
      <c r="N3111" s="7"/>
      <c r="O3111" s="7"/>
      <c r="P3111" s="7"/>
      <c r="Q3111" s="7"/>
      <c r="R3111" s="7"/>
      <c r="S3111" s="7"/>
      <c r="T3111" s="7"/>
      <c r="U3111" s="7"/>
      <c r="V3111" s="5"/>
      <c r="W3111" s="5"/>
      <c r="X3111" s="5"/>
      <c r="Y3111" s="5"/>
      <c r="Z3111" s="5"/>
    </row>
    <row r="3112" spans="1:26" ht="15.6" x14ac:dyDescent="0.3">
      <c r="A3112" s="19" t="s">
        <v>8</v>
      </c>
      <c r="B3112" s="26" t="s">
        <v>3103</v>
      </c>
      <c r="C3112" s="2" t="str">
        <f ca="1">IFERROR(__xludf.DUMMYFUNCTION("GOOGLETRANSLATE(B3112, ""bn"", ""en"")"),"In Sylhet, a group of local worshipers created a blockade by occupying the road in front of the old temple and throwing garbage.")</f>
        <v>In Sylhet, a group of local worshipers created a blockade by occupying the road in front of the old temple and throwing garbage.</v>
      </c>
      <c r="D3112" s="5"/>
      <c r="E3112" s="5"/>
      <c r="F3112" s="5"/>
      <c r="G3112" s="5"/>
      <c r="H3112" s="5"/>
      <c r="I3112" s="5"/>
      <c r="J3112" s="5"/>
      <c r="K3112" s="5"/>
      <c r="L3112" s="5"/>
      <c r="M3112" s="5"/>
      <c r="N3112" s="5"/>
      <c r="O3112" s="5"/>
      <c r="P3112" s="5"/>
      <c r="Q3112" s="5"/>
      <c r="R3112" s="5"/>
      <c r="S3112" s="5"/>
      <c r="T3112" s="5"/>
      <c r="U3112" s="5"/>
      <c r="V3112" s="5"/>
      <c r="W3112" s="5"/>
      <c r="X3112" s="5"/>
      <c r="Y3112" s="5"/>
      <c r="Z3112" s="5"/>
    </row>
    <row r="3113" spans="1:26" ht="15.6" x14ac:dyDescent="0.3">
      <c r="A3113" s="18" t="s">
        <v>5</v>
      </c>
      <c r="B3113" s="26" t="s">
        <v>3104</v>
      </c>
      <c r="C3113" s="2" t="str">
        <f ca="1">IFERROR(__xludf.DUMMYFUNCTION("GOOGLETRANSLATE(B3113, ""bn"", ""en"")"),"Hundreds of Muslims were killed in religious riots, women were raped, some committed suicide, 2,500 houses were burnt, nearly 12,000 people were left homeless.")</f>
        <v>Hundreds of Muslims were killed in religious riots, women were raped, some committed suicide, 2,500 houses were burnt, nearly 12,000 people were left homeless.</v>
      </c>
      <c r="D3113" s="5"/>
      <c r="E3113" s="5"/>
      <c r="F3113" s="5"/>
      <c r="G3113" s="5"/>
      <c r="H3113" s="5"/>
      <c r="I3113" s="5"/>
      <c r="J3113" s="5"/>
      <c r="K3113" s="5"/>
      <c r="L3113" s="5"/>
      <c r="M3113" s="5"/>
      <c r="N3113" s="5"/>
      <c r="O3113" s="5"/>
      <c r="P3113" s="5"/>
      <c r="Q3113" s="5"/>
      <c r="R3113" s="5"/>
      <c r="S3113" s="5"/>
      <c r="T3113" s="5"/>
      <c r="U3113" s="5"/>
      <c r="V3113" s="5"/>
      <c r="W3113" s="5"/>
      <c r="X3113" s="5"/>
      <c r="Y3113" s="5"/>
      <c r="Z3113" s="5"/>
    </row>
    <row r="3114" spans="1:26" ht="15.6" x14ac:dyDescent="0.3">
      <c r="A3114" s="19" t="s">
        <v>23</v>
      </c>
      <c r="B3114" s="26" t="s">
        <v>3105</v>
      </c>
      <c r="C3114" s="2" t="str">
        <f ca="1">IFERROR(__xludf.DUMMYFUNCTION("GOOGLETRANSLATE(B3114, ""bn"", ""en"")"),"Those who are doing it do not know what it can be after seeing the people of that religion! Know! Knowingly doing.")</f>
        <v>Those who are doing it do not know what it can be after seeing the people of that religion! Know! Knowingly doing.</v>
      </c>
      <c r="D3114" s="5"/>
      <c r="E3114" s="5"/>
      <c r="F3114" s="5"/>
      <c r="G3114" s="5"/>
      <c r="H3114" s="5"/>
      <c r="I3114" s="5"/>
      <c r="J3114" s="5"/>
      <c r="K3114" s="5"/>
      <c r="L3114" s="5"/>
      <c r="M3114" s="5"/>
      <c r="N3114" s="5"/>
      <c r="O3114" s="5"/>
      <c r="P3114" s="5"/>
      <c r="Q3114" s="5"/>
      <c r="R3114" s="5"/>
      <c r="S3114" s="5"/>
      <c r="T3114" s="5"/>
      <c r="U3114" s="5"/>
      <c r="V3114" s="5"/>
      <c r="W3114" s="5"/>
      <c r="X3114" s="5"/>
      <c r="Y3114" s="5"/>
      <c r="Z3114" s="5"/>
    </row>
    <row r="3115" spans="1:26" ht="15.6" x14ac:dyDescent="0.3">
      <c r="A3115" s="18" t="s">
        <v>23</v>
      </c>
      <c r="B3115" s="25" t="s">
        <v>3106</v>
      </c>
      <c r="C3115" s="2" t="str">
        <f ca="1">IFERROR(__xludf.DUMMYFUNCTION("GOOGLETRANSLATE(B3115, ""bn"", ""en"")"),"Volker Turk told UNHRC that such provocative actions against Muslims as well as other religions or minorities are wrong, offensive and irresponsible.")</f>
        <v>Volker Turk told UNHRC that such provocative actions against Muslims as well as other religions or minorities are wrong, offensive and irresponsible.</v>
      </c>
      <c r="D3115" s="2"/>
      <c r="E3115" s="2"/>
      <c r="F3115" s="2"/>
      <c r="G3115" s="2"/>
      <c r="H3115" s="3"/>
      <c r="I3115" s="3"/>
      <c r="J3115" s="3"/>
      <c r="K3115" s="3"/>
      <c r="L3115" s="3"/>
      <c r="M3115" s="3"/>
      <c r="N3115" s="3"/>
      <c r="O3115" s="3"/>
      <c r="P3115" s="3"/>
      <c r="Q3115" s="3"/>
      <c r="R3115" s="3"/>
      <c r="S3115" s="3"/>
      <c r="T3115" s="3"/>
      <c r="U3115" s="3"/>
      <c r="V3115" s="3"/>
      <c r="W3115" s="3"/>
      <c r="X3115" s="3"/>
      <c r="Y3115" s="3"/>
      <c r="Z3115" s="3"/>
    </row>
    <row r="3116" spans="1:26" ht="15.6" x14ac:dyDescent="0.3">
      <c r="A3116" s="18" t="s">
        <v>3</v>
      </c>
      <c r="B3116" s="25" t="s">
        <v>3107</v>
      </c>
      <c r="C3116" s="2" t="str">
        <f ca="1">IFERROR(__xludf.DUMMYFUNCTION("GOOGLETRANSLATE(B3116, ""bn"", ""en"")"),"According to the teachings of Allah, the main purpose of religion is to establish peace in the hearts of people and to find the right path in their lives, so that they can love and cooperate with each other, it is never intended to force or attack others.")</f>
        <v>According to the teachings of Allah, the main purpose of religion is to establish peace in the hearts of people and to find the right path in their lives, so that they can love and cooperate with each other, it is never intended to force or attack others.</v>
      </c>
      <c r="D3116" s="5"/>
      <c r="E3116" s="5"/>
      <c r="F3116" s="5"/>
      <c r="G3116" s="5"/>
      <c r="H3116" s="5"/>
      <c r="I3116" s="5"/>
      <c r="J3116" s="5"/>
      <c r="K3116" s="5"/>
      <c r="L3116" s="5"/>
      <c r="M3116" s="5"/>
      <c r="N3116" s="5"/>
      <c r="O3116" s="5"/>
      <c r="P3116" s="5"/>
      <c r="Q3116" s="5"/>
      <c r="R3116" s="5"/>
      <c r="S3116" s="5"/>
      <c r="T3116" s="5"/>
      <c r="U3116" s="5"/>
      <c r="V3116" s="5"/>
      <c r="W3116" s="5"/>
      <c r="X3116" s="5"/>
      <c r="Y3116" s="5"/>
      <c r="Z3116" s="5"/>
    </row>
    <row r="3117" spans="1:26" ht="15.6" x14ac:dyDescent="0.3">
      <c r="A3117" s="18" t="s">
        <v>8</v>
      </c>
      <c r="B3117" s="25" t="s">
        <v>3108</v>
      </c>
      <c r="C3117" s="2" t="str">
        <f ca="1">IFERROR(__xludf.DUMMYFUNCTION("GOOGLETRANSLATE(B3117, ""bn"", ""en"")"),"In Bangladesh in 1992, organized attacks on Hindus and other minorities based on religious incitement, vandalism and oppression of temples set a terrible example of religious vandalism and violence.")</f>
        <v>In Bangladesh in 1992, organized attacks on Hindus and other minorities based on religious incitement, vandalism and oppression of temples set a terrible example of religious vandalism and violence.</v>
      </c>
      <c r="D3117" s="5"/>
      <c r="E3117" s="5"/>
      <c r="F3117" s="5"/>
      <c r="G3117" s="5"/>
      <c r="H3117" s="5"/>
      <c r="I3117" s="5"/>
      <c r="J3117" s="5"/>
      <c r="K3117" s="5"/>
      <c r="L3117" s="5"/>
      <c r="M3117" s="5"/>
      <c r="N3117" s="5"/>
      <c r="O3117" s="5"/>
      <c r="P3117" s="5"/>
      <c r="Q3117" s="5"/>
      <c r="R3117" s="5"/>
      <c r="S3117" s="5"/>
      <c r="T3117" s="5"/>
      <c r="U3117" s="5"/>
      <c r="V3117" s="5"/>
      <c r="W3117" s="5"/>
      <c r="X3117" s="5"/>
      <c r="Y3117" s="5"/>
      <c r="Z3117" s="5"/>
    </row>
    <row r="3118" spans="1:26" ht="15.6" x14ac:dyDescent="0.3">
      <c r="A3118" s="18" t="s">
        <v>8</v>
      </c>
      <c r="B3118" s="24" t="s">
        <v>3109</v>
      </c>
      <c r="C3118" s="2" t="str">
        <f ca="1">IFERROR(__xludf.DUMMYFUNCTION("GOOGLETRANSLATE(B3118, ""bn"", ""en"")"),"An unknown group hurt religious sentiments by throwing pork at a mosque in Manikganj.")</f>
        <v>An unknown group hurt religious sentiments by throwing pork at a mosque in Manikganj.</v>
      </c>
      <c r="D3118" s="5"/>
      <c r="E3118" s="5"/>
      <c r="F3118" s="5"/>
      <c r="G3118" s="5"/>
      <c r="H3118" s="5"/>
      <c r="I3118" s="5"/>
      <c r="J3118" s="5"/>
      <c r="K3118" s="5"/>
      <c r="L3118" s="5"/>
      <c r="M3118" s="5"/>
      <c r="N3118" s="5"/>
      <c r="O3118" s="5"/>
      <c r="P3118" s="5"/>
      <c r="Q3118" s="5"/>
      <c r="R3118" s="5"/>
      <c r="S3118" s="5"/>
      <c r="T3118" s="5"/>
      <c r="U3118" s="5"/>
      <c r="V3118" s="5"/>
      <c r="W3118" s="5"/>
      <c r="X3118" s="5"/>
      <c r="Y3118" s="5"/>
      <c r="Z3118" s="5"/>
    </row>
    <row r="3119" spans="1:26" ht="15.6" x14ac:dyDescent="0.3">
      <c r="A3119" s="19" t="s">
        <v>3</v>
      </c>
      <c r="B3119" s="26" t="s">
        <v>3110</v>
      </c>
      <c r="C3119" s="2" t="str">
        <f ca="1">IFERROR(__xludf.DUMMYFUNCTION("GOOGLETRANSLATE(B3119, ""bn"", ""en"")"),"A truly religious person never hurts other religions, but values ​​humanity the most.")</f>
        <v>A truly religious person never hurts other religions, but values ​​humanity the most.</v>
      </c>
      <c r="D3119" s="7"/>
      <c r="E3119" s="7"/>
      <c r="F3119" s="7"/>
      <c r="G3119" s="5"/>
      <c r="H3119" s="5"/>
      <c r="I3119" s="5"/>
      <c r="J3119" s="5"/>
      <c r="K3119" s="5"/>
      <c r="L3119" s="5"/>
      <c r="M3119" s="5"/>
      <c r="N3119" s="5"/>
      <c r="O3119" s="5"/>
      <c r="P3119" s="5"/>
      <c r="Q3119" s="5"/>
      <c r="R3119" s="5"/>
      <c r="S3119" s="5"/>
      <c r="T3119" s="5"/>
      <c r="U3119" s="5"/>
      <c r="V3119" s="5"/>
      <c r="W3119" s="5"/>
      <c r="X3119" s="5"/>
      <c r="Y3119" s="5"/>
      <c r="Z3119" s="5"/>
    </row>
    <row r="3120" spans="1:26" ht="15.6" x14ac:dyDescent="0.3">
      <c r="A3120" s="19" t="s">
        <v>23</v>
      </c>
      <c r="B3120" s="26" t="s">
        <v>3111</v>
      </c>
      <c r="C3120" s="2" t="str">
        <f ca="1">IFERROR(__xludf.DUMMYFUNCTION("GOOGLETRANSLATE(B3120, ""bn"", ""en"")"),"Even when Muslims are attacked for protesting Islamophobia, action is not taken against the instigators—that is the judiciary in Bangladesh.")</f>
        <v>Even when Muslims are attacked for protesting Islamophobia, action is not taken against the instigators—that is the judiciary in Bangladesh.</v>
      </c>
      <c r="D3120" s="7"/>
      <c r="E3120" s="7"/>
      <c r="F3120" s="7"/>
      <c r="G3120" s="7"/>
      <c r="H3120" s="7"/>
      <c r="I3120" s="7"/>
      <c r="J3120" s="5"/>
      <c r="K3120" s="5"/>
      <c r="L3120" s="5"/>
      <c r="M3120" s="5"/>
      <c r="N3120" s="5"/>
      <c r="O3120" s="5"/>
      <c r="P3120" s="5"/>
      <c r="Q3120" s="5"/>
      <c r="R3120" s="5"/>
      <c r="S3120" s="5"/>
      <c r="T3120" s="5"/>
      <c r="U3120" s="5"/>
      <c r="V3120" s="5"/>
      <c r="W3120" s="5"/>
      <c r="X3120" s="5"/>
      <c r="Y3120" s="5"/>
      <c r="Z3120" s="5"/>
    </row>
    <row r="3121" spans="1:26" ht="15.6" x14ac:dyDescent="0.3">
      <c r="A3121" s="18" t="s">
        <v>8</v>
      </c>
      <c r="B3121" s="25" t="s">
        <v>3112</v>
      </c>
      <c r="C3121" s="2" t="str">
        <f ca="1">IFERROR(__xludf.DUMMYFUNCTION("GOOGLETRANSLATE(B3121, ""bn"", ""en"")"),"Chittagong, Bangladesh's second largest city, home to about 30% Hindus, saw its first violence on the evening of October 30 against the Hindu community in Chittagong.")</f>
        <v>Chittagong, Bangladesh's second largest city, home to about 30% Hindus, saw its first violence on the evening of October 30 against the Hindu community in Chittagong.</v>
      </c>
      <c r="D3121" s="2"/>
      <c r="E3121" s="2"/>
      <c r="F3121" s="2"/>
      <c r="G3121" s="2"/>
      <c r="H3121" s="5"/>
      <c r="I3121" s="5"/>
      <c r="J3121" s="5"/>
      <c r="K3121" s="5"/>
      <c r="L3121" s="5"/>
      <c r="M3121" s="5"/>
      <c r="N3121" s="5"/>
      <c r="O3121" s="5"/>
      <c r="P3121" s="5"/>
      <c r="Q3121" s="5"/>
      <c r="R3121" s="5"/>
      <c r="S3121" s="5"/>
      <c r="T3121" s="5"/>
      <c r="U3121" s="5"/>
      <c r="V3121" s="5"/>
      <c r="W3121" s="5"/>
      <c r="X3121" s="5"/>
      <c r="Y3121" s="5"/>
      <c r="Z3121" s="5"/>
    </row>
    <row r="3122" spans="1:26" ht="15.6" x14ac:dyDescent="0.3">
      <c r="A3122" s="18" t="s">
        <v>23</v>
      </c>
      <c r="B3122" s="25" t="s">
        <v>3113</v>
      </c>
      <c r="C3122" s="2" t="str">
        <f ca="1">IFERROR(__xludf.DUMMYFUNCTION("GOOGLETRANSLATE(B3122, ""bn"", ""en"")"),"Aversion to domestic products, but interest at the sight of foreign names—this hypocrisy does not go hand in hand with filial piety. An honest Muslim stands for truth and justice, not hypocrisy.")</f>
        <v>Aversion to domestic products, but interest at the sight of foreign names—this hypocrisy does not go hand in hand with filial piety. An honest Muslim stands for truth and justice, not hypocrisy.</v>
      </c>
      <c r="D3122" s="2"/>
      <c r="E3122" s="2"/>
      <c r="F3122" s="2"/>
      <c r="G3122" s="2"/>
      <c r="H3122" s="5"/>
      <c r="I3122" s="5"/>
      <c r="J3122" s="5"/>
      <c r="K3122" s="5"/>
      <c r="L3122" s="5"/>
      <c r="M3122" s="5"/>
      <c r="N3122" s="5"/>
      <c r="O3122" s="5"/>
      <c r="P3122" s="5"/>
      <c r="Q3122" s="5"/>
      <c r="R3122" s="5"/>
      <c r="S3122" s="5"/>
      <c r="T3122" s="5"/>
      <c r="U3122" s="5"/>
      <c r="V3122" s="5"/>
      <c r="W3122" s="5"/>
      <c r="X3122" s="5"/>
      <c r="Y3122" s="5"/>
      <c r="Z3122" s="5"/>
    </row>
    <row r="3123" spans="1:26" ht="15.6" x14ac:dyDescent="0.3">
      <c r="A3123" s="18" t="s">
        <v>23</v>
      </c>
      <c r="B3123" s="24" t="s">
        <v>1621</v>
      </c>
      <c r="C3123" s="2" t="str">
        <f ca="1">IFERROR(__xludf.DUMMYFUNCTION("GOOGLETRANSLATE(B3123, ""bn"", ""en"")"),"Some members of the Buddhist community are creating unrest and division in the society by spreading religious hatred.")</f>
        <v>Some members of the Buddhist community are creating unrest and division in the society by spreading religious hatred.</v>
      </c>
      <c r="D3123" s="5"/>
      <c r="E3123" s="5"/>
      <c r="F3123" s="5"/>
      <c r="G3123" s="5"/>
      <c r="H3123" s="5"/>
      <c r="I3123" s="5"/>
      <c r="J3123" s="5"/>
      <c r="K3123" s="5"/>
      <c r="L3123" s="5"/>
      <c r="M3123" s="5"/>
      <c r="N3123" s="5"/>
      <c r="O3123" s="5"/>
      <c r="P3123" s="5"/>
      <c r="Q3123" s="5"/>
      <c r="R3123" s="5"/>
      <c r="S3123" s="5"/>
      <c r="T3123" s="5"/>
      <c r="U3123" s="5"/>
      <c r="V3123" s="5"/>
      <c r="W3123" s="5"/>
      <c r="X3123" s="5"/>
      <c r="Y3123" s="5"/>
      <c r="Z3123" s="5"/>
    </row>
    <row r="3124" spans="1:26" ht="15.6" x14ac:dyDescent="0.3">
      <c r="A3124" s="19" t="s">
        <v>5</v>
      </c>
      <c r="B3124" s="26" t="s">
        <v>3114</v>
      </c>
      <c r="C3124" s="2" t="str">
        <f ca="1">IFERROR(__xludf.DUMMYFUNCTION("GOOGLETRANSLATE(B3124, ""bn"", ""en"")"),"SP Abida Sultana said that the accused are being identified after watching the video of a man named Shahidun Nabi Jewel being beaten to death and burnt on fire which has spread through social media.")</f>
        <v>SP Abida Sultana said that the accused are being identified after watching the video of a man named Shahidun Nabi Jewel being beaten to death and burnt on fire which has spread through social media.</v>
      </c>
      <c r="D3124" s="5"/>
      <c r="E3124" s="5"/>
      <c r="F3124" s="5"/>
      <c r="G3124" s="5"/>
      <c r="H3124" s="5"/>
      <c r="I3124" s="5"/>
      <c r="J3124" s="5"/>
      <c r="K3124" s="5"/>
      <c r="L3124" s="5"/>
      <c r="M3124" s="5"/>
      <c r="N3124" s="5"/>
      <c r="O3124" s="5"/>
      <c r="P3124" s="5"/>
      <c r="Q3124" s="5"/>
      <c r="R3124" s="5"/>
      <c r="S3124" s="5"/>
      <c r="T3124" s="5"/>
      <c r="U3124" s="5"/>
      <c r="V3124" s="5"/>
      <c r="W3124" s="5"/>
      <c r="X3124" s="5"/>
      <c r="Y3124" s="5"/>
      <c r="Z3124" s="5"/>
    </row>
    <row r="3125" spans="1:26" ht="15.6" x14ac:dyDescent="0.3">
      <c r="A3125" s="18" t="s">
        <v>8</v>
      </c>
      <c r="B3125" s="25" t="s">
        <v>3115</v>
      </c>
      <c r="C3125" s="2" t="str">
        <f ca="1">IFERROR(__xludf.DUMMYFUNCTION("GOOGLETRANSLATE(B3125, ""bn"", ""en"")"),"Muslim rioters from Kalyannagar and Narayanpur got together and attacked the zamindar's office under the leadership of Kashem, inciting religious hatred and ransacking.")</f>
        <v>Muslim rioters from Kalyannagar and Narayanpur got together and attacked the zamindar's office under the leadership of Kashem, inciting religious hatred and ransacking.</v>
      </c>
      <c r="D3125" s="5"/>
      <c r="E3125" s="5"/>
      <c r="F3125" s="5"/>
      <c r="G3125" s="5"/>
      <c r="H3125" s="5"/>
      <c r="I3125" s="5"/>
      <c r="J3125" s="5"/>
      <c r="K3125" s="5"/>
      <c r="L3125" s="5"/>
      <c r="M3125" s="5"/>
      <c r="N3125" s="5"/>
      <c r="O3125" s="5"/>
      <c r="P3125" s="5"/>
      <c r="Q3125" s="5"/>
      <c r="R3125" s="5"/>
      <c r="S3125" s="5"/>
      <c r="T3125" s="5"/>
      <c r="U3125" s="5"/>
      <c r="V3125" s="5"/>
      <c r="W3125" s="5"/>
      <c r="X3125" s="5"/>
      <c r="Y3125" s="5"/>
      <c r="Z3125" s="5"/>
    </row>
    <row r="3126" spans="1:26" ht="15.6" x14ac:dyDescent="0.3">
      <c r="A3126" s="19" t="s">
        <v>23</v>
      </c>
      <c r="B3126" s="26" t="s">
        <v>3116</v>
      </c>
      <c r="C3126" s="2" t="str">
        <f ca="1">IFERROR(__xludf.DUMMYFUNCTION("GOOGLETRANSLATE(B3126, ""bn"", ""en"")"),"This mahal is the enemy of the society and the nation, the enemy of both Hindus and Muslims. Therefore, I call upon the Hindu-Muslim community to be alert and cautious from their position.")</f>
        <v>This mahal is the enemy of the society and the nation, the enemy of both Hindus and Muslims. Therefore, I call upon the Hindu-Muslim community to be alert and cautious from their position.</v>
      </c>
      <c r="D3126" s="7"/>
      <c r="E3126" s="7"/>
      <c r="F3126" s="7"/>
      <c r="G3126" s="7"/>
      <c r="H3126" s="7"/>
      <c r="I3126" s="7"/>
      <c r="J3126" s="7"/>
      <c r="K3126" s="7"/>
      <c r="L3126" s="5"/>
      <c r="M3126" s="5"/>
      <c r="N3126" s="5"/>
      <c r="O3126" s="5"/>
      <c r="P3126" s="5"/>
      <c r="Q3126" s="5"/>
      <c r="R3126" s="5"/>
      <c r="S3126" s="5"/>
      <c r="T3126" s="5"/>
      <c r="U3126" s="5"/>
      <c r="V3126" s="5"/>
      <c r="W3126" s="5"/>
      <c r="X3126" s="5"/>
      <c r="Y3126" s="5"/>
      <c r="Z3126" s="5"/>
    </row>
    <row r="3127" spans="1:26" ht="15.6" x14ac:dyDescent="0.3">
      <c r="A3127" s="18" t="s">
        <v>23</v>
      </c>
      <c r="B3127" s="25" t="s">
        <v>3117</v>
      </c>
      <c r="C3127" s="2" t="str">
        <f ca="1">IFERROR(__xludf.DUMMYFUNCTION("GOOGLETRANSLATE(B3127, ""bn"", ""en"")"),"I strongly condemn and protest against the desecration of the Holy Quran in the Pujamandap in Comilla. I also demand exemplary punishment for those involved. It is the religious responsibility of our Muslims to protect the sanctity of the Qur'an.")</f>
        <v>I strongly condemn and protest against the desecration of the Holy Quran in the Pujamandap in Comilla. I also demand exemplary punishment for those involved. It is the religious responsibility of our Muslims to protect the sanctity of the Qur'an.</v>
      </c>
      <c r="D3127" s="5"/>
      <c r="E3127" s="5"/>
      <c r="F3127" s="5"/>
      <c r="G3127" s="5"/>
      <c r="H3127" s="5"/>
      <c r="I3127" s="5"/>
      <c r="J3127" s="5"/>
      <c r="K3127" s="5"/>
      <c r="L3127" s="5"/>
      <c r="M3127" s="5"/>
      <c r="N3127" s="5"/>
      <c r="O3127" s="5"/>
      <c r="P3127" s="5"/>
      <c r="Q3127" s="5"/>
      <c r="R3127" s="5"/>
      <c r="S3127" s="5"/>
      <c r="T3127" s="5"/>
      <c r="U3127" s="5"/>
      <c r="V3127" s="5"/>
      <c r="W3127" s="5"/>
      <c r="X3127" s="5"/>
      <c r="Y3127" s="5"/>
      <c r="Z3127" s="5"/>
    </row>
    <row r="3128" spans="1:26" ht="15.6" x14ac:dyDescent="0.3">
      <c r="A3128" s="18" t="s">
        <v>8</v>
      </c>
      <c r="B3128" s="26" t="s">
        <v>3118</v>
      </c>
      <c r="C3128" s="2" t="str">
        <f ca="1">IFERROR(__xludf.DUMMYFUNCTION("GOOGLETRANSLATE(B3128, ""bn"", ""en"")"),"Vandalizing temples and attacking Hindu communities and burning their houses — these are, in a word, communal riots.")</f>
        <v>Vandalizing temples and attacking Hindu communities and burning their houses — these are, in a word, communal riots.</v>
      </c>
      <c r="D3128" s="2"/>
      <c r="E3128" s="2"/>
      <c r="F3128" s="2"/>
      <c r="G3128" s="2"/>
      <c r="H3128" s="3"/>
      <c r="I3128" s="3"/>
      <c r="J3128" s="3"/>
      <c r="K3128" s="3"/>
      <c r="L3128" s="3"/>
      <c r="M3128" s="3"/>
      <c r="N3128" s="3"/>
      <c r="O3128" s="3"/>
      <c r="P3128" s="3"/>
      <c r="Q3128" s="3"/>
      <c r="R3128" s="3"/>
      <c r="S3128" s="3"/>
      <c r="T3128" s="3"/>
      <c r="U3128" s="3"/>
      <c r="V3128" s="3"/>
      <c r="W3128" s="3"/>
      <c r="X3128" s="3"/>
      <c r="Y3128" s="3"/>
      <c r="Z3128" s="3"/>
    </row>
    <row r="3129" spans="1:26" ht="15.6" x14ac:dyDescent="0.3">
      <c r="A3129" s="19" t="s">
        <v>3</v>
      </c>
      <c r="B3129" s="26" t="s">
        <v>3119</v>
      </c>
      <c r="C3129" s="2" t="str">
        <f ca="1">IFERROR(__xludf.DUMMYFUNCTION("GOOGLETRANSLATE(B3129, ""bn"", ""en"")"),"All scriptures are symbols of dignity; Therefore contempt is reprehensible. Al-Quran is the most widely read holy book in the world, desecration of which is a grave crime and punishable in Islam.")</f>
        <v>All scriptures are symbols of dignity; Therefore contempt is reprehensible. Al-Quran is the most widely read holy book in the world, desecration of which is a grave crime and punishable in Islam.</v>
      </c>
      <c r="D3129" s="7"/>
      <c r="E3129" s="7"/>
      <c r="F3129" s="7"/>
      <c r="G3129" s="7"/>
      <c r="H3129" s="7"/>
      <c r="I3129" s="7"/>
      <c r="J3129" s="7"/>
      <c r="K3129" s="7"/>
      <c r="L3129" s="7"/>
      <c r="M3129" s="5"/>
      <c r="N3129" s="5"/>
      <c r="O3129" s="5"/>
      <c r="P3129" s="5"/>
      <c r="Q3129" s="5"/>
      <c r="R3129" s="5"/>
      <c r="S3129" s="5"/>
      <c r="T3129" s="5"/>
      <c r="U3129" s="5"/>
      <c r="V3129" s="5"/>
      <c r="W3129" s="5"/>
      <c r="X3129" s="5"/>
      <c r="Y3129" s="5"/>
      <c r="Z3129" s="5"/>
    </row>
    <row r="3130" spans="1:26" ht="15.6" x14ac:dyDescent="0.3">
      <c r="A3130" s="18" t="s">
        <v>5</v>
      </c>
      <c r="B3130" s="25" t="s">
        <v>3120</v>
      </c>
      <c r="C3130" s="2" t="str">
        <f ca="1">IFERROR(__xludf.DUMMYFUNCTION("GOOGLETRANSLATE(B3130, ""bn"", ""en"")"),"Extremist ideologies have led to religious riots that have endangered the lives of many innocent people.")</f>
        <v>Extremist ideologies have led to religious riots that have endangered the lives of many innocent people.</v>
      </c>
      <c r="D3130" s="5"/>
      <c r="E3130" s="5"/>
      <c r="F3130" s="5"/>
      <c r="G3130" s="5"/>
      <c r="H3130" s="5"/>
      <c r="I3130" s="5"/>
      <c r="J3130" s="5"/>
      <c r="K3130" s="5"/>
      <c r="L3130" s="5"/>
      <c r="M3130" s="5"/>
      <c r="N3130" s="5"/>
      <c r="O3130" s="5"/>
      <c r="P3130" s="5"/>
      <c r="Q3130" s="5"/>
      <c r="R3130" s="5"/>
      <c r="S3130" s="5"/>
      <c r="T3130" s="5"/>
      <c r="U3130" s="5"/>
      <c r="V3130" s="5"/>
      <c r="W3130" s="5"/>
      <c r="X3130" s="5"/>
      <c r="Y3130" s="5"/>
      <c r="Z3130" s="5"/>
    </row>
    <row r="3131" spans="1:26" ht="15.6" x14ac:dyDescent="0.3">
      <c r="A3131" s="18" t="s">
        <v>8</v>
      </c>
      <c r="B3131" s="25" t="s">
        <v>3121</v>
      </c>
      <c r="C3131" s="2" t="str">
        <f ca="1">IFERROR(__xludf.DUMMYFUNCTION("GOOGLETRANSLATE(B3131, ""bn"", ""en"")"),"Crossing the Lama Bazar and going to the fish market junction, thousands of people attacked the Lama Bazar central Hari temple at 10 o'clock and broke the temple goods, iron gate, boundary wall, pandal, decoration gate.")</f>
        <v>Crossing the Lama Bazar and going to the fish market junction, thousands of people attacked the Lama Bazar central Hari temple at 10 o'clock and broke the temple goods, iron gate, boundary wall, pandal, decoration gate.</v>
      </c>
      <c r="D3131" s="6"/>
      <c r="E3131" s="2"/>
      <c r="F3131" s="2"/>
      <c r="G3131" s="2"/>
      <c r="H3131" s="5"/>
      <c r="I3131" s="5"/>
      <c r="J3131" s="5"/>
      <c r="K3131" s="5"/>
      <c r="L3131" s="5"/>
      <c r="M3131" s="5"/>
      <c r="N3131" s="5"/>
      <c r="O3131" s="5"/>
      <c r="P3131" s="5"/>
      <c r="Q3131" s="5"/>
      <c r="R3131" s="5"/>
      <c r="S3131" s="5"/>
      <c r="T3131" s="5"/>
      <c r="U3131" s="5"/>
      <c r="V3131" s="5"/>
      <c r="W3131" s="5"/>
      <c r="X3131" s="5"/>
      <c r="Y3131" s="5"/>
      <c r="Z3131" s="5"/>
    </row>
    <row r="3132" spans="1:26" ht="15.6" x14ac:dyDescent="0.3">
      <c r="A3132" s="18" t="s">
        <v>8</v>
      </c>
      <c r="B3132" s="25" t="s">
        <v>3122</v>
      </c>
      <c r="C3132" s="2" t="str">
        <f ca="1">IFERROR(__xludf.DUMMYFUNCTION("GOOGLETRANSLATE(B3132, ""bn"", ""en"")"),"Some miscreants entered the gurdwara and ransacked it, damaging religious symbols and injuring Sikh worshipers there, hinting at religious violence and hate attacks.")</f>
        <v>Some miscreants entered the gurdwara and ransacked it, damaging religious symbols and injuring Sikh worshipers there, hinting at religious violence and hate attacks.</v>
      </c>
      <c r="D3132" s="5"/>
      <c r="E3132" s="5"/>
      <c r="F3132" s="5"/>
      <c r="G3132" s="5"/>
      <c r="H3132" s="5"/>
      <c r="I3132" s="5"/>
      <c r="J3132" s="5"/>
      <c r="K3132" s="5"/>
      <c r="L3132" s="5"/>
      <c r="M3132" s="5"/>
      <c r="N3132" s="5"/>
      <c r="O3132" s="5"/>
      <c r="P3132" s="5"/>
      <c r="Q3132" s="5"/>
      <c r="R3132" s="5"/>
      <c r="S3132" s="5"/>
      <c r="T3132" s="5"/>
      <c r="U3132" s="5"/>
      <c r="V3132" s="5"/>
      <c r="W3132" s="5"/>
      <c r="X3132" s="5"/>
      <c r="Y3132" s="5"/>
      <c r="Z3132" s="5"/>
    </row>
    <row r="3133" spans="1:26" ht="15.6" x14ac:dyDescent="0.3">
      <c r="A3133" s="18" t="s">
        <v>5</v>
      </c>
      <c r="B3133" s="25" t="s">
        <v>3123</v>
      </c>
      <c r="C3133" s="2" t="str">
        <f ca="1">IFERROR(__xludf.DUMMYFUNCTION("GOOGLETRANSLATE(B3133, ""bn"", ""en"")"),"Religious intolerance increased during the reign of King Bainnaung (1550-1589) and Buddhists killed Muslims.")</f>
        <v>Religious intolerance increased during the reign of King Bainnaung (1550-1589) and Buddhists killed Muslims.</v>
      </c>
      <c r="D3133" s="5"/>
      <c r="E3133" s="5"/>
      <c r="F3133" s="5"/>
      <c r="G3133" s="5"/>
      <c r="H3133" s="5"/>
      <c r="I3133" s="5"/>
      <c r="J3133" s="5"/>
      <c r="K3133" s="5"/>
      <c r="L3133" s="5"/>
      <c r="M3133" s="5"/>
      <c r="N3133" s="5"/>
      <c r="O3133" s="5"/>
      <c r="P3133" s="5"/>
      <c r="Q3133" s="5"/>
      <c r="R3133" s="5"/>
      <c r="S3133" s="5"/>
      <c r="T3133" s="5"/>
      <c r="U3133" s="5"/>
      <c r="V3133" s="5"/>
      <c r="W3133" s="5"/>
      <c r="X3133" s="5"/>
      <c r="Y3133" s="5"/>
      <c r="Z3133" s="5"/>
    </row>
    <row r="3134" spans="1:26" ht="15.6" x14ac:dyDescent="0.3">
      <c r="A3134" s="18" t="s">
        <v>8</v>
      </c>
      <c r="B3134" s="24" t="s">
        <v>3124</v>
      </c>
      <c r="C3134" s="2" t="str">
        <f ca="1">IFERROR(__xludf.DUMMYFUNCTION("GOOGLETRANSLATE(B3134, ""bn"", ""en"")"),"In Moulvibazar, Hindu village entered the Radhakrishna temple and vandalized the idol with hammer and destroyed the worship material.")</f>
        <v>In Moulvibazar, Hindu village entered the Radhakrishna temple and vandalized the idol with hammer and destroyed the worship material.</v>
      </c>
      <c r="D3134" s="5"/>
      <c r="E3134" s="5"/>
      <c r="F3134" s="5"/>
      <c r="G3134" s="5"/>
      <c r="H3134" s="5"/>
      <c r="I3134" s="5"/>
      <c r="J3134" s="5"/>
      <c r="K3134" s="5"/>
      <c r="L3134" s="5"/>
      <c r="M3134" s="5"/>
      <c r="N3134" s="5"/>
      <c r="O3134" s="5"/>
      <c r="P3134" s="5"/>
      <c r="Q3134" s="5"/>
      <c r="R3134" s="5"/>
      <c r="S3134" s="5"/>
      <c r="T3134" s="5"/>
      <c r="U3134" s="5"/>
      <c r="V3134" s="5"/>
      <c r="W3134" s="5"/>
      <c r="X3134" s="5"/>
      <c r="Y3134" s="5"/>
      <c r="Z3134" s="5"/>
    </row>
    <row r="3135" spans="1:26" ht="15.6" x14ac:dyDescent="0.3">
      <c r="A3135" s="18" t="s">
        <v>5</v>
      </c>
      <c r="B3135" s="24" t="s">
        <v>3125</v>
      </c>
      <c r="C3135" s="2" t="str">
        <f ca="1">IFERROR(__xludf.DUMMYFUNCTION("GOOGLETRANSLATE(B3135, ""bn"", ""en"")"),"After killing a religious leader, his followers were attacked and 40 people lost their lives.")</f>
        <v>After killing a religious leader, his followers were attacked and 40 people lost their lives.</v>
      </c>
      <c r="D3135" s="5"/>
      <c r="E3135" s="5"/>
      <c r="F3135" s="5"/>
      <c r="G3135" s="5"/>
      <c r="H3135" s="5"/>
      <c r="I3135" s="5"/>
      <c r="J3135" s="5"/>
      <c r="K3135" s="5"/>
      <c r="L3135" s="5"/>
      <c r="M3135" s="5"/>
      <c r="N3135" s="5"/>
      <c r="O3135" s="5"/>
      <c r="P3135" s="5"/>
      <c r="Q3135" s="5"/>
      <c r="R3135" s="5"/>
      <c r="S3135" s="5"/>
      <c r="T3135" s="5"/>
      <c r="U3135" s="5"/>
      <c r="V3135" s="5"/>
      <c r="W3135" s="5"/>
      <c r="X3135" s="5"/>
      <c r="Y3135" s="5"/>
      <c r="Z3135" s="5"/>
    </row>
    <row r="3136" spans="1:26" ht="15.6" x14ac:dyDescent="0.3">
      <c r="A3136" s="18" t="s">
        <v>8</v>
      </c>
      <c r="B3136" s="25" t="s">
        <v>3126</v>
      </c>
      <c r="C3136" s="2" t="str">
        <f ca="1">IFERROR(__xludf.DUMMYFUNCTION("GOOGLETRANSLATE(B3136, ""bn"", ""en"")"),"About 4500 Hindus took refuge in Feni Government College and another 2500 Hindus fled to various shelters in Noakhali due to religious extremism.")</f>
        <v>About 4500 Hindus took refuge in Feni Government College and another 2500 Hindus fled to various shelters in Noakhali due to religious extremism.</v>
      </c>
      <c r="D3136" s="5"/>
      <c r="E3136" s="5"/>
      <c r="F3136" s="5"/>
      <c r="G3136" s="5"/>
      <c r="H3136" s="5"/>
      <c r="I3136" s="5"/>
      <c r="J3136" s="5"/>
      <c r="K3136" s="5"/>
      <c r="L3136" s="5"/>
      <c r="M3136" s="5"/>
      <c r="N3136" s="5"/>
      <c r="O3136" s="5"/>
      <c r="P3136" s="5"/>
      <c r="Q3136" s="5"/>
      <c r="R3136" s="5"/>
      <c r="S3136" s="5"/>
      <c r="T3136" s="5"/>
      <c r="U3136" s="5"/>
      <c r="V3136" s="5"/>
      <c r="W3136" s="5"/>
      <c r="X3136" s="5"/>
      <c r="Y3136" s="5"/>
      <c r="Z3136" s="5"/>
    </row>
    <row r="3137" spans="1:26" ht="15.6" x14ac:dyDescent="0.3">
      <c r="A3137" s="19" t="s">
        <v>3</v>
      </c>
      <c r="B3137" s="26" t="s">
        <v>3127</v>
      </c>
      <c r="C3137" s="2" t="str">
        <f ca="1">IFERROR(__xludf.DUMMYFUNCTION("GOOGLETRANSLATE(B3137, ""bn"", ""en"")"),"A true Hindu or Muslim cannot do or support such an act; No religion allows it. Minority Hindus are our neighbours.")</f>
        <v>A true Hindu or Muslim cannot do or support such an act; No religion allows it. Minority Hindus are our neighbours.</v>
      </c>
      <c r="D3137" s="7"/>
      <c r="E3137" s="7"/>
      <c r="F3137" s="7"/>
      <c r="G3137" s="7"/>
      <c r="H3137" s="7"/>
      <c r="I3137" s="7"/>
      <c r="J3137" s="7"/>
      <c r="K3137" s="5"/>
      <c r="L3137" s="5"/>
      <c r="M3137" s="5"/>
      <c r="N3137" s="5"/>
      <c r="O3137" s="5"/>
      <c r="P3137" s="5"/>
      <c r="Q3137" s="5"/>
      <c r="R3137" s="5"/>
      <c r="S3137" s="5"/>
      <c r="T3137" s="5"/>
      <c r="U3137" s="5"/>
      <c r="V3137" s="5"/>
      <c r="W3137" s="5"/>
      <c r="X3137" s="5"/>
      <c r="Y3137" s="5"/>
      <c r="Z3137" s="5"/>
    </row>
    <row r="3138" spans="1:26" ht="15.6" x14ac:dyDescent="0.3">
      <c r="A3138" s="18" t="s">
        <v>3</v>
      </c>
      <c r="B3138" s="25" t="s">
        <v>3128</v>
      </c>
      <c r="C3138" s="2" t="str">
        <f ca="1">IFERROR(__xludf.DUMMYFUNCTION("GOOGLETRANSLATE(B3138, ""bn"", ""en"")"),"Ignoring all the temptations and threats, the Prophet (PBUH) was so steadfast in the path of religion that even if the sun was given in one hand and the moon in the other, he would not back down.")</f>
        <v>Ignoring all the temptations and threats, the Prophet (PBUH) was so steadfast in the path of religion that even if the sun was given in one hand and the moon in the other, he would not back down.</v>
      </c>
      <c r="D3138" s="2"/>
      <c r="E3138" s="2"/>
      <c r="F3138" s="4"/>
      <c r="G3138" s="4"/>
      <c r="H3138" s="3"/>
      <c r="I3138" s="3"/>
      <c r="J3138" s="3"/>
      <c r="K3138" s="3"/>
      <c r="L3138" s="3"/>
      <c r="M3138" s="3"/>
      <c r="N3138" s="3"/>
      <c r="O3138" s="3"/>
      <c r="P3138" s="3"/>
      <c r="Q3138" s="3"/>
      <c r="R3138" s="3"/>
      <c r="S3138" s="3"/>
      <c r="T3138" s="3"/>
      <c r="U3138" s="3"/>
      <c r="V3138" s="3"/>
      <c r="W3138" s="3"/>
      <c r="X3138" s="3"/>
      <c r="Y3138" s="3"/>
      <c r="Z3138" s="3"/>
    </row>
    <row r="3139" spans="1:26" ht="15.6" x14ac:dyDescent="0.3">
      <c r="A3139" s="18" t="s">
        <v>8</v>
      </c>
      <c r="B3139" s="24" t="s">
        <v>3129</v>
      </c>
      <c r="C3139" s="2" t="str">
        <f ca="1">IFERROR(__xludf.DUMMYFUNCTION("GOOGLETRANSLATE(B3139, ""bn"", ""en"")"),"Miscreants poured petrol on the idol made during Durga Puja in Feni and burnt it.")</f>
        <v>Miscreants poured petrol on the idol made during Durga Puja in Feni and burnt it.</v>
      </c>
      <c r="D3139" s="5"/>
      <c r="E3139" s="5"/>
      <c r="F3139" s="5"/>
      <c r="G3139" s="5"/>
      <c r="H3139" s="5"/>
      <c r="I3139" s="5"/>
      <c r="J3139" s="5"/>
      <c r="K3139" s="5"/>
      <c r="L3139" s="5"/>
      <c r="M3139" s="5"/>
      <c r="N3139" s="5"/>
      <c r="O3139" s="5"/>
      <c r="P3139" s="5"/>
      <c r="Q3139" s="5"/>
      <c r="R3139" s="5"/>
      <c r="S3139" s="5"/>
      <c r="T3139" s="5"/>
      <c r="U3139" s="5"/>
      <c r="V3139" s="5"/>
      <c r="W3139" s="5"/>
      <c r="X3139" s="5"/>
      <c r="Y3139" s="5"/>
      <c r="Z3139" s="5"/>
    </row>
    <row r="3140" spans="1:26" ht="15.6" x14ac:dyDescent="0.3">
      <c r="A3140" s="18" t="s">
        <v>8</v>
      </c>
      <c r="B3140" s="24" t="s">
        <v>3130</v>
      </c>
      <c r="C3140" s="2" t="str">
        <f ca="1">IFERROR(__xludf.DUMMYFUNCTION("GOOGLETRANSLATE(B3140, ""bn"", ""en"")"),"A fire at a Buddhist monastery in Rangamati melted the brass Buddha image and the prayer hall was completely destroyed.")</f>
        <v>A fire at a Buddhist monastery in Rangamati melted the brass Buddha image and the prayer hall was completely destroyed.</v>
      </c>
      <c r="D3140" s="5"/>
      <c r="E3140" s="5"/>
      <c r="F3140" s="5"/>
      <c r="G3140" s="5"/>
      <c r="H3140" s="5"/>
      <c r="I3140" s="5"/>
      <c r="J3140" s="5"/>
      <c r="K3140" s="5"/>
      <c r="L3140" s="5"/>
      <c r="M3140" s="5"/>
      <c r="N3140" s="5"/>
      <c r="O3140" s="5"/>
      <c r="P3140" s="5"/>
      <c r="Q3140" s="5"/>
      <c r="R3140" s="5"/>
      <c r="S3140" s="5"/>
      <c r="T3140" s="5"/>
      <c r="U3140" s="5"/>
      <c r="V3140" s="5"/>
      <c r="W3140" s="5"/>
      <c r="X3140" s="5"/>
      <c r="Y3140" s="5"/>
      <c r="Z3140" s="5"/>
    </row>
    <row r="3141" spans="1:26" ht="15.6" x14ac:dyDescent="0.3">
      <c r="A3141" s="18" t="s">
        <v>5</v>
      </c>
      <c r="B3141" s="24" t="s">
        <v>3131</v>
      </c>
      <c r="C3141" s="2" t="str">
        <f ca="1">IFERROR(__xludf.DUMMYFUNCTION("GOOGLETRANSLATE(B3141, ""bn"", ""en"")"),"In October 2018, members of a political party set fire to the homes of minorities in a religious jingoism, killing at least 38 people.")</f>
        <v>In October 2018, members of a political party set fire to the homes of minorities in a religious jingoism, killing at least 38 people.</v>
      </c>
      <c r="D3141" s="5"/>
      <c r="E3141" s="5"/>
      <c r="F3141" s="5"/>
      <c r="G3141" s="5"/>
      <c r="H3141" s="5"/>
      <c r="I3141" s="5"/>
      <c r="J3141" s="5"/>
      <c r="K3141" s="5"/>
      <c r="L3141" s="5"/>
      <c r="M3141" s="5"/>
      <c r="N3141" s="5"/>
      <c r="O3141" s="5"/>
      <c r="P3141" s="5"/>
      <c r="Q3141" s="5"/>
      <c r="R3141" s="5"/>
      <c r="S3141" s="5"/>
      <c r="T3141" s="5"/>
      <c r="U3141" s="5"/>
      <c r="V3141" s="5"/>
      <c r="W3141" s="5"/>
      <c r="X3141" s="5"/>
      <c r="Y3141" s="5"/>
      <c r="Z3141" s="5"/>
    </row>
    <row r="3142" spans="1:26" ht="15.6" x14ac:dyDescent="0.3">
      <c r="A3142" s="18" t="s">
        <v>3</v>
      </c>
      <c r="B3142" s="25" t="s">
        <v>3132</v>
      </c>
      <c r="C3142" s="2" t="str">
        <f ca="1">IFERROR(__xludf.DUMMYFUNCTION("GOOGLETRANSLATE(B3142, ""bn"", ""en"")"),"There are many obstacles in good deeds since the beginning of the creation of the world, if that good is Islam, then there is no shortage of enemies, as you said, we should advance in more media... May Allah Ta'ala guide both of you to do good deeds, Amee"&amp;"n")</f>
        <v>There are many obstacles in good deeds since the beginning of the creation of the world, if that good is Islam, then there is no shortage of enemies, as you said, we should advance in more media... May Allah Ta'ala guide both of you to do good deeds, Ameen</v>
      </c>
      <c r="D3142" s="5"/>
      <c r="E3142" s="5"/>
      <c r="F3142" s="5"/>
      <c r="G3142" s="5"/>
      <c r="H3142" s="5"/>
      <c r="I3142" s="5"/>
      <c r="J3142" s="5"/>
      <c r="K3142" s="5"/>
      <c r="L3142" s="5"/>
      <c r="M3142" s="5"/>
      <c r="N3142" s="5"/>
      <c r="O3142" s="5"/>
      <c r="P3142" s="5"/>
      <c r="Q3142" s="5"/>
      <c r="R3142" s="5"/>
      <c r="S3142" s="5"/>
      <c r="T3142" s="5"/>
      <c r="U3142" s="5"/>
      <c r="V3142" s="5"/>
      <c r="W3142" s="5"/>
      <c r="X3142" s="5"/>
      <c r="Y3142" s="5"/>
      <c r="Z3142" s="5"/>
    </row>
    <row r="3143" spans="1:26" ht="15.6" x14ac:dyDescent="0.3">
      <c r="A3143" s="18" t="s">
        <v>23</v>
      </c>
      <c r="B3143" s="25" t="s">
        <v>3133</v>
      </c>
      <c r="C3143" s="2" t="str">
        <f ca="1">IFERROR(__xludf.DUMMYFUNCTION("GOOGLETRANSLATE(B3143, ""bn"", ""en"")"),"In Barisal, pro-Awami League Muslims are occupying the houses of Hindus and evicting them, beating Tapan Sarkar's family and leaving them because they are Hindus.")</f>
        <v>In Barisal, pro-Awami League Muslims are occupying the houses of Hindus and evicting them, beating Tapan Sarkar's family and leaving them because they are Hindus.</v>
      </c>
      <c r="D3143" s="5"/>
      <c r="E3143" s="5"/>
      <c r="F3143" s="5"/>
      <c r="G3143" s="5"/>
      <c r="H3143" s="5"/>
      <c r="I3143" s="5"/>
      <c r="J3143" s="5"/>
      <c r="K3143" s="5"/>
      <c r="L3143" s="5"/>
      <c r="M3143" s="5"/>
      <c r="N3143" s="5"/>
      <c r="O3143" s="5"/>
      <c r="P3143" s="5"/>
      <c r="Q3143" s="5"/>
      <c r="R3143" s="5"/>
      <c r="S3143" s="5"/>
      <c r="T3143" s="5"/>
      <c r="U3143" s="5"/>
      <c r="V3143" s="5"/>
      <c r="W3143" s="5"/>
      <c r="X3143" s="5"/>
      <c r="Y3143" s="5"/>
      <c r="Z3143" s="5"/>
    </row>
    <row r="3144" spans="1:26" ht="15.6" x14ac:dyDescent="0.3">
      <c r="A3144" s="18" t="s">
        <v>8</v>
      </c>
      <c r="B3144" s="25" t="s">
        <v>3134</v>
      </c>
      <c r="C3144" s="2" t="str">
        <f ca="1">IFERROR(__xludf.DUMMYFUNCTION("GOOGLETRANSLATE(B3144, ""bn"", ""en"")"),"The incidents of violence centered around Durga Puja, the biggest religious festival of the Hindu community in different parts of Bangladesh.")</f>
        <v>The incidents of violence centered around Durga Puja, the biggest religious festival of the Hindu community in different parts of Bangladesh.</v>
      </c>
      <c r="D3144" s="2"/>
      <c r="E3144" s="2"/>
      <c r="F3144" s="2"/>
      <c r="G3144" s="2"/>
      <c r="H3144" s="3"/>
      <c r="I3144" s="3"/>
      <c r="J3144" s="3"/>
      <c r="K3144" s="3"/>
      <c r="L3144" s="3"/>
      <c r="M3144" s="3"/>
      <c r="N3144" s="3"/>
      <c r="O3144" s="3"/>
      <c r="P3144" s="3"/>
      <c r="Q3144" s="3"/>
      <c r="R3144" s="3"/>
      <c r="S3144" s="3"/>
      <c r="T3144" s="3"/>
      <c r="U3144" s="3"/>
      <c r="V3144" s="3"/>
      <c r="W3144" s="3"/>
      <c r="X3144" s="3"/>
      <c r="Y3144" s="3"/>
      <c r="Z3144" s="3"/>
    </row>
    <row r="3145" spans="1:26" ht="15.6" x14ac:dyDescent="0.3">
      <c r="A3145" s="18" t="s">
        <v>8</v>
      </c>
      <c r="B3145" s="25" t="s">
        <v>3135</v>
      </c>
      <c r="C3145" s="2" t="str">
        <f ca="1">IFERROR(__xludf.DUMMYFUNCTION("GOOGLETRANSLATE(B3145, ""bn"", ""en"")"),"On June 20, a 11th class student (18) of Chardakatiya area of ​​Chitalmari Upazila of Bagerhat posted and shared a video insulting Islam and Hazrat Mohammad from her Facebook ID. Police arrested him on Sunday (June 19) night when there was tension in the "&amp;"area after this incident.")</f>
        <v>On June 20, a 11th class student (18) of Chardakatiya area of ​​Chitalmari Upazila of Bagerhat posted and shared a video insulting Islam and Hazrat Mohammad from her Facebook ID. Police arrested him on Sunday (June 19) night when there was tension in the area after this incident.</v>
      </c>
      <c r="D3145" s="6"/>
      <c r="E3145" s="2"/>
      <c r="F3145" s="2"/>
      <c r="G3145" s="2"/>
      <c r="H3145" s="3"/>
      <c r="I3145" s="3"/>
      <c r="J3145" s="3"/>
      <c r="K3145" s="3"/>
      <c r="L3145" s="3"/>
      <c r="M3145" s="3"/>
      <c r="N3145" s="3"/>
      <c r="O3145" s="3"/>
      <c r="P3145" s="3"/>
      <c r="Q3145" s="3"/>
      <c r="R3145" s="3"/>
      <c r="S3145" s="3"/>
      <c r="T3145" s="3"/>
      <c r="U3145" s="3"/>
      <c r="V3145" s="3"/>
      <c r="W3145" s="3"/>
      <c r="X3145" s="3"/>
      <c r="Y3145" s="3"/>
      <c r="Z3145" s="3"/>
    </row>
    <row r="3146" spans="1:26" ht="15.6" x14ac:dyDescent="0.3">
      <c r="A3146" s="18" t="s">
        <v>3</v>
      </c>
      <c r="B3146" s="25" t="s">
        <v>3136</v>
      </c>
      <c r="C3146" s="2" t="str">
        <f ca="1">IFERROR(__xludf.DUMMYFUNCTION("GOOGLETRANSLATE(B3146, ""bn"", ""en"")"),"Those who love science and keep the news, and are also deeply religious (like me) know that life is only about worshiping God and science is only a part of that worship.")</f>
        <v>Those who love science and keep the news, and are also deeply religious (like me) know that life is only about worshiping God and science is only a part of that worship.</v>
      </c>
      <c r="D3146" s="2"/>
      <c r="E3146" s="2"/>
      <c r="F3146" s="2"/>
      <c r="G3146" s="2"/>
      <c r="H3146" s="3"/>
      <c r="I3146" s="3"/>
      <c r="J3146" s="3"/>
      <c r="K3146" s="3"/>
      <c r="L3146" s="3"/>
      <c r="M3146" s="3"/>
      <c r="N3146" s="3"/>
      <c r="O3146" s="3"/>
      <c r="P3146" s="3"/>
      <c r="Q3146" s="3"/>
      <c r="R3146" s="3"/>
      <c r="S3146" s="3"/>
      <c r="T3146" s="3"/>
      <c r="U3146" s="3"/>
      <c r="V3146" s="3"/>
      <c r="W3146" s="3"/>
      <c r="X3146" s="3"/>
      <c r="Y3146" s="3"/>
      <c r="Z3146" s="3"/>
    </row>
    <row r="3147" spans="1:26" ht="15.6" x14ac:dyDescent="0.3">
      <c r="A3147" s="19" t="s">
        <v>3</v>
      </c>
      <c r="B3147" s="26" t="s">
        <v>3137</v>
      </c>
      <c r="C3147" s="2" t="str">
        <f ca="1">IFERROR(__xludf.DUMMYFUNCTION("GOOGLETRANSLATE(B3147, ""bn"", ""en"")"),"I believe Hindus have good relations and harmony with the larger population of Bangladesh.")</f>
        <v>I believe Hindus have good relations and harmony with the larger population of Bangladesh.</v>
      </c>
      <c r="D3147" s="7"/>
      <c r="E3147" s="7"/>
      <c r="F3147" s="5"/>
      <c r="G3147" s="5"/>
      <c r="H3147" s="5"/>
      <c r="I3147" s="5"/>
      <c r="J3147" s="5"/>
      <c r="K3147" s="5"/>
      <c r="L3147" s="5"/>
      <c r="M3147" s="5"/>
      <c r="N3147" s="5"/>
      <c r="O3147" s="5"/>
      <c r="P3147" s="5"/>
      <c r="Q3147" s="5"/>
      <c r="R3147" s="5"/>
      <c r="S3147" s="5"/>
      <c r="T3147" s="5"/>
      <c r="U3147" s="5"/>
      <c r="V3147" s="5"/>
      <c r="W3147" s="5"/>
      <c r="X3147" s="5"/>
      <c r="Y3147" s="5"/>
      <c r="Z3147" s="5"/>
    </row>
    <row r="3148" spans="1:26" ht="15.6" x14ac:dyDescent="0.3">
      <c r="A3148" s="19" t="s">
        <v>8</v>
      </c>
      <c r="B3148" s="26" t="s">
        <v>3138</v>
      </c>
      <c r="C3148" s="2" t="str">
        <f ca="1">IFERROR(__xludf.DUMMYFUNCTION("GOOGLETRANSLATE(B3148, ""bn"", ""en"")"),"After Operation Searchlight, Peace Committee and Razakar Bahini were formed in Khulna. In April, the Rajakars started torturing Hindus and looting property.")</f>
        <v>After Operation Searchlight, Peace Committee and Razakar Bahini were formed in Khulna. In April, the Rajakars started torturing Hindus and looting property.</v>
      </c>
      <c r="D3148" s="7"/>
      <c r="E3148" s="7"/>
      <c r="F3148" s="7"/>
      <c r="G3148" s="7"/>
      <c r="H3148" s="7"/>
      <c r="I3148" s="7"/>
      <c r="J3148" s="7"/>
      <c r="K3148" s="7"/>
      <c r="L3148" s="5"/>
      <c r="M3148" s="5"/>
      <c r="N3148" s="5"/>
      <c r="O3148" s="5"/>
      <c r="P3148" s="5"/>
      <c r="Q3148" s="5"/>
      <c r="R3148" s="5"/>
      <c r="S3148" s="5"/>
      <c r="T3148" s="5"/>
      <c r="U3148" s="5"/>
      <c r="V3148" s="5"/>
      <c r="W3148" s="5"/>
      <c r="X3148" s="5"/>
      <c r="Y3148" s="5"/>
      <c r="Z3148" s="5"/>
    </row>
    <row r="3149" spans="1:26" ht="15.6" x14ac:dyDescent="0.3">
      <c r="A3149" s="18" t="s">
        <v>3</v>
      </c>
      <c r="B3149" s="25" t="s">
        <v>3139</v>
      </c>
      <c r="C3149" s="2" t="str">
        <f ca="1">IFERROR(__xludf.DUMMYFUNCTION("GOOGLETRANSLATE(B3149, ""bn"", ""en"")"),"By obeying Allah's commands, every step in life is properly regulated, and we experience true happiness and peace.")</f>
        <v>By obeying Allah's commands, every step in life is properly regulated, and we experience true happiness and peace.</v>
      </c>
      <c r="D3149" s="5"/>
      <c r="E3149" s="5"/>
      <c r="F3149" s="5"/>
      <c r="G3149" s="5"/>
      <c r="H3149" s="5"/>
      <c r="I3149" s="5"/>
      <c r="J3149" s="5"/>
      <c r="K3149" s="5"/>
      <c r="L3149" s="5"/>
      <c r="M3149" s="5"/>
      <c r="N3149" s="5"/>
      <c r="O3149" s="5"/>
      <c r="P3149" s="5"/>
      <c r="Q3149" s="5"/>
      <c r="R3149" s="5"/>
      <c r="S3149" s="5"/>
      <c r="T3149" s="5"/>
      <c r="U3149" s="5"/>
      <c r="V3149" s="5"/>
      <c r="W3149" s="5"/>
      <c r="X3149" s="5"/>
      <c r="Y3149" s="5"/>
      <c r="Z3149" s="5"/>
    </row>
    <row r="3150" spans="1:26" ht="15.6" x14ac:dyDescent="0.3">
      <c r="A3150" s="18" t="s">
        <v>23</v>
      </c>
      <c r="B3150" s="25" t="s">
        <v>3140</v>
      </c>
      <c r="C3150" s="2" t="str">
        <f ca="1">IFERROR(__xludf.DUMMYFUNCTION("GOOGLETRANSLATE(B3150, ""bn"", ""en"")"),"After the loss of 10 wickets, Mohammad Shami was attacked on social media. He was taunted about religion.")</f>
        <v>After the loss of 10 wickets, Mohammad Shami was attacked on social media. He was taunted about religion.</v>
      </c>
      <c r="D3150" s="5"/>
      <c r="E3150" s="5"/>
      <c r="F3150" s="5"/>
      <c r="G3150" s="5"/>
      <c r="H3150" s="5"/>
      <c r="I3150" s="5"/>
      <c r="J3150" s="5"/>
      <c r="K3150" s="5"/>
      <c r="L3150" s="5"/>
      <c r="M3150" s="5"/>
      <c r="N3150" s="5"/>
      <c r="O3150" s="5"/>
      <c r="P3150" s="5"/>
      <c r="Q3150" s="5"/>
      <c r="R3150" s="5"/>
      <c r="S3150" s="5"/>
      <c r="T3150" s="5"/>
      <c r="U3150" s="5"/>
      <c r="V3150" s="5"/>
      <c r="W3150" s="5"/>
      <c r="X3150" s="5"/>
      <c r="Y3150" s="5"/>
      <c r="Z3150" s="5"/>
    </row>
    <row r="3151" spans="1:26" ht="21.75" customHeight="1" x14ac:dyDescent="0.3">
      <c r="A3151" s="18" t="s">
        <v>5</v>
      </c>
      <c r="B3151" s="25" t="s">
        <v>3141</v>
      </c>
      <c r="C3151" s="2" t="str">
        <f ca="1">IFERROR(__xludf.DUMMYFUNCTION("GOOGLETRANSLATE(B3151, ""bn"", ""en"")"),"It cited hundreds of incidents of ""murders, attempted murders, death threats, assaults, rapes, kidnappings, and attacks on homes, businesses, and places of worship"" against religious minorities in 2017.")</f>
        <v>It cited hundreds of incidents of "murders, attempted murders, death threats, assaults, rapes, kidnappings, and attacks on homes, businesses, and places of worship" against religious minorities in 2017.</v>
      </c>
      <c r="D3151" s="5"/>
      <c r="E3151" s="5"/>
      <c r="F3151" s="5"/>
      <c r="G3151" s="5"/>
      <c r="H3151" s="5"/>
      <c r="I3151" s="5"/>
      <c r="J3151" s="5"/>
      <c r="K3151" s="5"/>
      <c r="L3151" s="5"/>
      <c r="M3151" s="5"/>
      <c r="N3151" s="5"/>
      <c r="O3151" s="5"/>
      <c r="P3151" s="5"/>
      <c r="Q3151" s="5"/>
      <c r="R3151" s="5"/>
      <c r="S3151" s="5"/>
      <c r="T3151" s="5"/>
      <c r="U3151" s="5"/>
      <c r="V3151" s="5"/>
      <c r="W3151" s="5"/>
      <c r="X3151" s="5"/>
      <c r="Y3151" s="5"/>
      <c r="Z3151" s="5"/>
    </row>
    <row r="3152" spans="1:26" ht="15.6" x14ac:dyDescent="0.3">
      <c r="A3152" s="19" t="s">
        <v>5</v>
      </c>
      <c r="B3152" s="26" t="s">
        <v>3142</v>
      </c>
      <c r="C3152" s="2" t="str">
        <f ca="1">IFERROR(__xludf.DUMMYFUNCTION("GOOGLETRANSLATE(B3152, ""bn"", ""en"")"),"Individuals and organizations who could have stopped the brutal killings perpetrated on the people of Bangladesh, if they remain silent and ignored, will one day be accountable to their Creator.")</f>
        <v>Individuals and organizations who could have stopped the brutal killings perpetrated on the people of Bangladesh, if they remain silent and ignored, will one day be accountable to their Creator.</v>
      </c>
      <c r="D3152" s="7"/>
      <c r="E3152" s="7"/>
      <c r="F3152" s="7"/>
      <c r="G3152" s="7"/>
      <c r="H3152" s="7"/>
      <c r="I3152" s="7"/>
      <c r="J3152" s="7"/>
      <c r="K3152" s="7"/>
      <c r="L3152" s="7"/>
      <c r="M3152" s="7"/>
      <c r="N3152" s="7"/>
      <c r="O3152" s="7"/>
      <c r="P3152" s="5"/>
      <c r="Q3152" s="5"/>
      <c r="R3152" s="5"/>
      <c r="S3152" s="5"/>
      <c r="T3152" s="5"/>
      <c r="U3152" s="5"/>
      <c r="V3152" s="5"/>
      <c r="W3152" s="5"/>
      <c r="X3152" s="5"/>
      <c r="Y3152" s="5"/>
      <c r="Z3152" s="5"/>
    </row>
    <row r="3153" spans="1:26" ht="15.6" x14ac:dyDescent="0.3">
      <c r="A3153" s="19" t="s">
        <v>23</v>
      </c>
      <c r="B3153" s="26" t="s">
        <v>3143</v>
      </c>
      <c r="C3153" s="2" t="str">
        <f ca="1">IFERROR(__xludf.DUMMYFUNCTION("GOOGLETRANSLATE(B3153, ""bn"", ""en"")"),"Most Christians view Islam as a false religion because its followers reject the Trinity, the divinity of Christ, and the crucifixion and resurrection of Christ.")</f>
        <v>Most Christians view Islam as a false religion because its followers reject the Trinity, the divinity of Christ, and the crucifixion and resurrection of Christ.</v>
      </c>
      <c r="D3153" s="5"/>
      <c r="E3153" s="5"/>
      <c r="F3153" s="5"/>
      <c r="G3153" s="5"/>
      <c r="H3153" s="5"/>
      <c r="I3153" s="5"/>
      <c r="J3153" s="5"/>
      <c r="K3153" s="5"/>
      <c r="L3153" s="5"/>
      <c r="M3153" s="5"/>
      <c r="N3153" s="5"/>
      <c r="O3153" s="5"/>
      <c r="P3153" s="5"/>
      <c r="Q3153" s="5"/>
      <c r="R3153" s="5"/>
      <c r="S3153" s="5"/>
      <c r="T3153" s="5"/>
      <c r="U3153" s="5"/>
      <c r="V3153" s="5"/>
      <c r="W3153" s="5"/>
      <c r="X3153" s="5"/>
      <c r="Y3153" s="5"/>
      <c r="Z3153" s="5"/>
    </row>
    <row r="3154" spans="1:26" ht="15.6" x14ac:dyDescent="0.3">
      <c r="A3154" s="18" t="s">
        <v>5</v>
      </c>
      <c r="B3154" s="25" t="s">
        <v>3144</v>
      </c>
      <c r="C3154" s="2" t="str">
        <f ca="1">IFERROR(__xludf.DUMMYFUNCTION("GOOGLETRANSLATE(B3154, ""bn"", ""en"")"),"The Rajakars forced the villagers to recite Kalema to test their religion and killed those who failed by slitting their throats. Out of fear, some committed suicide, others left the body and fled and hid in the forest hills.")</f>
        <v>The Rajakars forced the villagers to recite Kalema to test their religion and killed those who failed by slitting their throats. Out of fear, some committed suicide, others left the body and fled and hid in the forest hills.</v>
      </c>
      <c r="D3154" s="5"/>
      <c r="E3154" s="5"/>
      <c r="F3154" s="5"/>
      <c r="G3154" s="5"/>
      <c r="H3154" s="5"/>
      <c r="I3154" s="5"/>
      <c r="J3154" s="5"/>
      <c r="K3154" s="5"/>
      <c r="L3154" s="5"/>
      <c r="M3154" s="5"/>
      <c r="N3154" s="5"/>
      <c r="O3154" s="5"/>
      <c r="P3154" s="5"/>
      <c r="Q3154" s="5"/>
      <c r="R3154" s="5"/>
      <c r="S3154" s="5"/>
      <c r="T3154" s="5"/>
      <c r="U3154" s="5"/>
      <c r="V3154" s="5"/>
      <c r="W3154" s="5"/>
      <c r="X3154" s="5"/>
      <c r="Y3154" s="5"/>
      <c r="Z3154" s="5"/>
    </row>
    <row r="3155" spans="1:26" ht="15.6" x14ac:dyDescent="0.3">
      <c r="A3155" s="19" t="s">
        <v>3</v>
      </c>
      <c r="B3155" s="26" t="s">
        <v>3145</v>
      </c>
      <c r="C3155" s="2" t="str">
        <f ca="1">IFERROR(__xludf.DUMMYFUNCTION("GOOGLETRANSLATE(B3155, ""bn"", ""en"")"),"There should be an organization for people who return to religion to teach and support them.")</f>
        <v>There should be an organization for people who return to religion to teach and support them.</v>
      </c>
      <c r="D3155" s="7"/>
      <c r="E3155" s="7"/>
      <c r="F3155" s="7"/>
      <c r="G3155" s="5"/>
      <c r="H3155" s="5"/>
      <c r="I3155" s="5"/>
      <c r="J3155" s="5"/>
      <c r="K3155" s="5"/>
      <c r="L3155" s="5"/>
      <c r="M3155" s="5"/>
      <c r="N3155" s="5"/>
      <c r="O3155" s="5"/>
      <c r="P3155" s="5"/>
      <c r="Q3155" s="5"/>
      <c r="R3155" s="5"/>
      <c r="S3155" s="5"/>
      <c r="T3155" s="5"/>
      <c r="U3155" s="5"/>
      <c r="V3155" s="5"/>
      <c r="W3155" s="5"/>
      <c r="X3155" s="5"/>
      <c r="Y3155" s="5"/>
      <c r="Z3155" s="5"/>
    </row>
    <row r="3156" spans="1:26" ht="15.6" x14ac:dyDescent="0.3">
      <c r="A3156" s="19" t="s">
        <v>23</v>
      </c>
      <c r="B3156" s="26" t="s">
        <v>3146</v>
      </c>
      <c r="C3156" s="2" t="str">
        <f ca="1">IFERROR(__xludf.DUMMYFUNCTION("GOOGLETRANSLATE(B3156, ""bn"", ""en"")"),"The duty of Haqqani scholars is to guide people from confusion, and attacking a person's religious place is prohibited and clearly wrong in Sharia.")</f>
        <v>The duty of Haqqani scholars is to guide people from confusion, and attacking a person's religious place is prohibited and clearly wrong in Sharia.</v>
      </c>
      <c r="D3156" s="7"/>
      <c r="E3156" s="7"/>
      <c r="F3156" s="7"/>
      <c r="G3156" s="7"/>
      <c r="H3156" s="7"/>
      <c r="I3156" s="7"/>
      <c r="J3156" s="7"/>
      <c r="K3156" s="5"/>
      <c r="L3156" s="5"/>
      <c r="M3156" s="5"/>
      <c r="N3156" s="5"/>
      <c r="O3156" s="5"/>
      <c r="P3156" s="5"/>
      <c r="Q3156" s="5"/>
      <c r="R3156" s="5"/>
      <c r="S3156" s="5"/>
      <c r="T3156" s="5"/>
      <c r="U3156" s="5"/>
      <c r="V3156" s="5"/>
      <c r="W3156" s="5"/>
      <c r="X3156" s="5"/>
      <c r="Y3156" s="5"/>
      <c r="Z3156" s="5"/>
    </row>
    <row r="3157" spans="1:26" ht="15.6" x14ac:dyDescent="0.3">
      <c r="A3157" s="18" t="s">
        <v>8</v>
      </c>
      <c r="B3157" s="24" t="s">
        <v>3147</v>
      </c>
      <c r="C3157" s="2" t="str">
        <f ca="1">IFERROR(__xludf.DUMMYFUNCTION("GOOGLETRANSLATE(B3157, ""bn"", ""en"")"),"On 14 September 2023 miscreants set fire to idol-making materials at Kali Puja Mandapam in Thakurgaon, burning half of the under-construction idol to ashes.")</f>
        <v>On 14 September 2023 miscreants set fire to idol-making materials at Kali Puja Mandapam in Thakurgaon, burning half of the under-construction idol to ashes.</v>
      </c>
      <c r="D3157" s="5"/>
      <c r="E3157" s="5"/>
      <c r="F3157" s="5"/>
      <c r="G3157" s="5"/>
      <c r="H3157" s="5"/>
      <c r="I3157" s="5"/>
      <c r="J3157" s="5"/>
      <c r="K3157" s="5"/>
      <c r="L3157" s="5"/>
      <c r="M3157" s="5"/>
      <c r="N3157" s="5"/>
      <c r="O3157" s="5"/>
      <c r="P3157" s="5"/>
      <c r="Q3157" s="5"/>
      <c r="R3157" s="5"/>
      <c r="S3157" s="5"/>
      <c r="T3157" s="5"/>
      <c r="U3157" s="5"/>
      <c r="V3157" s="5"/>
      <c r="W3157" s="5"/>
      <c r="X3157" s="5"/>
      <c r="Y3157" s="5"/>
      <c r="Z3157" s="5"/>
    </row>
    <row r="3158" spans="1:26" ht="15.6" x14ac:dyDescent="0.3">
      <c r="A3158" s="18" t="s">
        <v>8</v>
      </c>
      <c r="B3158" s="25" t="s">
        <v>3148</v>
      </c>
      <c r="C3158" s="2" t="str">
        <f ca="1">IFERROR(__xludf.DUMMYFUNCTION("GOOGLETRANSLATE(B3158, ""bn"", ""en"")"),"On the day of the incident, about two hundred Muslim assailants broke down a boundary wall of the temple and tried to occupy the land and vandalized the temple. Three people were injured while resisting the attack.")</f>
        <v>On the day of the incident, about two hundred Muslim assailants broke down a boundary wall of the temple and tried to occupy the land and vandalized the temple. Three people were injured while resisting the attack.</v>
      </c>
      <c r="D3158" s="2"/>
      <c r="E3158" s="2"/>
      <c r="F3158" s="2"/>
      <c r="G3158" s="2"/>
      <c r="H3158" s="5"/>
      <c r="I3158" s="5"/>
      <c r="J3158" s="5"/>
      <c r="K3158" s="5"/>
      <c r="L3158" s="5"/>
      <c r="M3158" s="5"/>
      <c r="N3158" s="5"/>
      <c r="O3158" s="5"/>
      <c r="P3158" s="5"/>
      <c r="Q3158" s="5"/>
      <c r="R3158" s="5"/>
      <c r="S3158" s="5"/>
      <c r="T3158" s="5"/>
      <c r="U3158" s="5"/>
      <c r="V3158" s="5"/>
      <c r="W3158" s="5"/>
      <c r="X3158" s="5"/>
      <c r="Y3158" s="5"/>
      <c r="Z3158" s="5"/>
    </row>
    <row r="3159" spans="1:26" ht="15.6" x14ac:dyDescent="0.3">
      <c r="A3159" s="18" t="s">
        <v>5</v>
      </c>
      <c r="B3159" s="25" t="s">
        <v>3149</v>
      </c>
      <c r="C3159" s="2" t="str">
        <f ca="1">IFERROR(__xludf.DUMMYFUNCTION("GOOGLETRANSLATE(B3159, ""bn"", ""en"")"),"In the name of religion, many innocent people have been killed due to fanaticism, some have committed suicide in self-defence, forgetting humanity, this tragic event will be written in blood in history.")</f>
        <v>In the name of religion, many innocent people have been killed due to fanaticism, some have committed suicide in self-defence, forgetting humanity, this tragic event will be written in blood in history.</v>
      </c>
      <c r="D3159" s="5"/>
      <c r="E3159" s="5"/>
      <c r="F3159" s="5"/>
      <c r="G3159" s="5"/>
      <c r="H3159" s="5"/>
      <c r="I3159" s="5"/>
      <c r="J3159" s="5"/>
      <c r="K3159" s="5"/>
      <c r="L3159" s="5"/>
      <c r="M3159" s="5"/>
      <c r="N3159" s="5"/>
      <c r="O3159" s="5"/>
      <c r="P3159" s="5"/>
      <c r="Q3159" s="5"/>
      <c r="R3159" s="5"/>
      <c r="S3159" s="5"/>
      <c r="T3159" s="5"/>
      <c r="U3159" s="5"/>
      <c r="V3159" s="5"/>
      <c r="W3159" s="5"/>
      <c r="X3159" s="5"/>
      <c r="Y3159" s="5"/>
      <c r="Z3159" s="5"/>
    </row>
    <row r="3160" spans="1:26" ht="15.6" x14ac:dyDescent="0.3">
      <c r="A3160" s="19" t="s">
        <v>3</v>
      </c>
      <c r="B3160" s="26" t="s">
        <v>3150</v>
      </c>
      <c r="C3160" s="2" t="str">
        <f ca="1">IFERROR(__xludf.DUMMYFUNCTION("GOOGLETRANSLATE(B3160, ""bn"", ""en"")"),"Jesus Christ taught to show love and compassion to one's neighbor, which is helpful in building religious tolerance and a peaceful world.")</f>
        <v>Jesus Christ taught to show love and compassion to one's neighbor, which is helpful in building religious tolerance and a peaceful world.</v>
      </c>
      <c r="D3160" s="7"/>
      <c r="E3160" s="7"/>
      <c r="F3160" s="7"/>
      <c r="G3160" s="7"/>
      <c r="H3160" s="7"/>
      <c r="I3160" s="5"/>
      <c r="J3160" s="5"/>
      <c r="K3160" s="5"/>
      <c r="L3160" s="5"/>
      <c r="M3160" s="5"/>
      <c r="N3160" s="5"/>
      <c r="O3160" s="5"/>
      <c r="P3160" s="5"/>
      <c r="Q3160" s="5"/>
      <c r="R3160" s="5"/>
      <c r="S3160" s="5"/>
      <c r="T3160" s="5"/>
      <c r="U3160" s="5"/>
      <c r="V3160" s="5"/>
      <c r="W3160" s="5"/>
      <c r="X3160" s="5"/>
      <c r="Y3160" s="5"/>
      <c r="Z3160" s="5"/>
    </row>
    <row r="3161" spans="1:26" ht="15.6" x14ac:dyDescent="0.3">
      <c r="A3161" s="18" t="s">
        <v>8</v>
      </c>
      <c r="B3161" s="25" t="s">
        <v>3151</v>
      </c>
      <c r="C3161" s="2" t="str">
        <f ca="1">IFERROR(__xludf.DUMMYFUNCTION("GOOGLETRANSLATE(B3161, ""bn"", ""en"")"),"Bangladesh has also recently seen an increase in attacks on Muslim women wearing the hijab, with many seriously injured.")</f>
        <v>Bangladesh has also recently seen an increase in attacks on Muslim women wearing the hijab, with many seriously injured.</v>
      </c>
      <c r="D3161" s="2"/>
      <c r="E3161" s="2"/>
      <c r="F3161" s="2"/>
      <c r="G3161" s="2"/>
      <c r="H3161" s="3"/>
      <c r="I3161" s="3"/>
      <c r="J3161" s="3"/>
      <c r="K3161" s="3"/>
      <c r="L3161" s="3"/>
      <c r="M3161" s="3"/>
      <c r="N3161" s="3"/>
      <c r="O3161" s="3"/>
      <c r="P3161" s="3"/>
      <c r="Q3161" s="3"/>
      <c r="R3161" s="3"/>
      <c r="S3161" s="3"/>
      <c r="T3161" s="3"/>
      <c r="U3161" s="3"/>
      <c r="V3161" s="3"/>
      <c r="W3161" s="3"/>
      <c r="X3161" s="3"/>
      <c r="Y3161" s="3"/>
      <c r="Z3161" s="3"/>
    </row>
    <row r="3162" spans="1:26" ht="15.6" x14ac:dyDescent="0.3">
      <c r="A3162" s="19" t="s">
        <v>3</v>
      </c>
      <c r="B3162" s="26" t="s">
        <v>3152</v>
      </c>
      <c r="C3162" s="2" t="str">
        <f ca="1">IFERROR(__xludf.DUMMYFUNCTION("GOOGLETRANSLATE(B3162, ""bn"", ""en"")"),"In fact the Buddha did not answer any such question. The Buddha remained silent on these questions as Avantar, as mentioned in the Tripitaka scriptures.")</f>
        <v>In fact the Buddha did not answer any such question. The Buddha remained silent on these questions as Avantar, as mentioned in the Tripitaka scriptures.</v>
      </c>
      <c r="D3162" s="5"/>
      <c r="E3162" s="5"/>
      <c r="F3162" s="5"/>
      <c r="G3162" s="5"/>
      <c r="H3162" s="5"/>
      <c r="I3162" s="5"/>
      <c r="J3162" s="5"/>
      <c r="K3162" s="5"/>
      <c r="L3162" s="5"/>
      <c r="M3162" s="5"/>
      <c r="N3162" s="5"/>
      <c r="O3162" s="5"/>
      <c r="P3162" s="5"/>
      <c r="Q3162" s="5"/>
      <c r="R3162" s="5"/>
      <c r="S3162" s="5"/>
      <c r="T3162" s="5"/>
      <c r="U3162" s="5"/>
      <c r="V3162" s="5"/>
      <c r="W3162" s="5"/>
      <c r="X3162" s="5"/>
      <c r="Y3162" s="5"/>
      <c r="Z3162" s="5"/>
    </row>
    <row r="3163" spans="1:26" ht="15.6" x14ac:dyDescent="0.3">
      <c r="A3163" s="18" t="s">
        <v>3</v>
      </c>
      <c r="B3163" s="25" t="s">
        <v>3153</v>
      </c>
      <c r="C3163" s="2" t="str">
        <f ca="1">IFERROR(__xludf.DUMMYFUNCTION("GOOGLETRANSLATE(B3163, ""bn"", ""en"")"),"Allah Subhanahu Ta'ala says, ""And the life of this world is nothing but a joke, and surely the abode of the Hereafter is the real life, if only they knew."" (Surah Al Ankabut: 64)")</f>
        <v>Allah Subhanahu Ta'ala says, "And the life of this world is nothing but a joke, and surely the abode of the Hereafter is the real life, if only they knew." (Surah Al Ankabut: 64)</v>
      </c>
      <c r="D3163" s="2"/>
      <c r="E3163" s="2"/>
      <c r="F3163" s="2"/>
      <c r="G3163" s="2"/>
      <c r="H3163" s="5"/>
      <c r="I3163" s="5"/>
      <c r="J3163" s="5"/>
      <c r="K3163" s="5"/>
      <c r="L3163" s="5"/>
      <c r="M3163" s="5"/>
      <c r="N3163" s="5"/>
      <c r="O3163" s="5"/>
      <c r="P3163" s="5"/>
      <c r="Q3163" s="5"/>
      <c r="R3163" s="5"/>
      <c r="S3163" s="5"/>
      <c r="T3163" s="5"/>
      <c r="U3163" s="5"/>
      <c r="V3163" s="5"/>
      <c r="W3163" s="5"/>
      <c r="X3163" s="5"/>
      <c r="Y3163" s="5"/>
      <c r="Z3163" s="5"/>
    </row>
    <row r="3164" spans="1:26" ht="15.6" x14ac:dyDescent="0.3">
      <c r="A3164" s="18" t="s">
        <v>3</v>
      </c>
      <c r="B3164" s="25" t="s">
        <v>3154</v>
      </c>
      <c r="C3164" s="2" t="str">
        <f ca="1">IFERROR(__xludf.DUMMYFUNCTION("GOOGLETRANSLATE(B3164, ""bn"", ""en"")"),"He who understands the Gita, never thinks a Hindu is small or himself big, knows that all are one and servants of God. Works for the welfare of Sanatan Dharma, obeys God's orders for the upliftment of all.")</f>
        <v>He who understands the Gita, never thinks a Hindu is small or himself big, knows that all are one and servants of God. Works for the welfare of Sanatan Dharma, obeys God's orders for the upliftment of all.</v>
      </c>
      <c r="D3164" s="2"/>
      <c r="E3164" s="2"/>
      <c r="F3164" s="2"/>
      <c r="G3164" s="2"/>
      <c r="H3164" s="3"/>
      <c r="I3164" s="3"/>
      <c r="J3164" s="3"/>
      <c r="K3164" s="3"/>
      <c r="L3164" s="3"/>
      <c r="M3164" s="3"/>
      <c r="N3164" s="3"/>
      <c r="O3164" s="3"/>
      <c r="P3164" s="3"/>
      <c r="Q3164" s="3"/>
      <c r="R3164" s="3"/>
      <c r="S3164" s="3"/>
      <c r="T3164" s="3"/>
      <c r="U3164" s="3"/>
      <c r="V3164" s="3"/>
      <c r="W3164" s="3"/>
      <c r="X3164" s="3"/>
      <c r="Y3164" s="3"/>
      <c r="Z3164" s="3"/>
    </row>
    <row r="3165" spans="1:26" ht="15.6" x14ac:dyDescent="0.3">
      <c r="A3165" s="18" t="s">
        <v>8</v>
      </c>
      <c r="B3165" s="25" t="s">
        <v>3155</v>
      </c>
      <c r="C3165" s="2" t="str">
        <f ca="1">IFERROR(__xludf.DUMMYFUNCTION("GOOGLETRANSLATE(B3165, ""bn"", ""en"")"),"Maheshwar Pasha, Pabla, Chandnimahal, Daulatpur, etc. started attacking the nearby Hindu settlements with intense anger. They started looting and setting fire to the houses, businesses, and shrines of the Hindus there.")</f>
        <v>Maheshwar Pasha, Pabla, Chandnimahal, Daulatpur, etc. started attacking the nearby Hindu settlements with intense anger. They started looting and setting fire to the houses, businesses, and shrines of the Hindus there.</v>
      </c>
      <c r="D3165" s="5"/>
      <c r="E3165" s="5"/>
      <c r="F3165" s="5"/>
      <c r="G3165" s="5"/>
      <c r="H3165" s="5"/>
      <c r="I3165" s="5"/>
      <c r="J3165" s="5"/>
      <c r="K3165" s="5"/>
      <c r="L3165" s="5"/>
      <c r="M3165" s="5"/>
      <c r="N3165" s="5"/>
      <c r="O3165" s="5"/>
      <c r="P3165" s="5"/>
      <c r="Q3165" s="5"/>
      <c r="R3165" s="5"/>
      <c r="S3165" s="5"/>
      <c r="T3165" s="5"/>
      <c r="U3165" s="5"/>
      <c r="V3165" s="5"/>
      <c r="W3165" s="5"/>
      <c r="X3165" s="5"/>
      <c r="Y3165" s="5"/>
      <c r="Z3165" s="5"/>
    </row>
    <row r="3166" spans="1:26" ht="15.6" x14ac:dyDescent="0.3">
      <c r="A3166" s="18" t="s">
        <v>23</v>
      </c>
      <c r="B3166" s="24" t="s">
        <v>3156</v>
      </c>
      <c r="C3166" s="2" t="str">
        <f ca="1">IFERROR(__xludf.DUMMYFUNCTION("GOOGLETRANSLATE(B3166, ""bn"", ""en"")"),"Christians are creating division and violence in the society in the name of conversion which is hindering the development of the country.")</f>
        <v>Christians are creating division and violence in the society in the name of conversion which is hindering the development of the country.</v>
      </c>
      <c r="D3166" s="5"/>
      <c r="E3166" s="5"/>
      <c r="F3166" s="5"/>
      <c r="G3166" s="5"/>
      <c r="H3166" s="5"/>
      <c r="I3166" s="5"/>
      <c r="J3166" s="5"/>
      <c r="K3166" s="5"/>
      <c r="L3166" s="5"/>
      <c r="M3166" s="5"/>
      <c r="N3166" s="5"/>
      <c r="O3166" s="5"/>
      <c r="P3166" s="5"/>
      <c r="Q3166" s="5"/>
      <c r="R3166" s="5"/>
      <c r="S3166" s="5"/>
      <c r="T3166" s="5"/>
      <c r="U3166" s="5"/>
      <c r="V3166" s="5"/>
      <c r="W3166" s="5"/>
      <c r="X3166" s="5"/>
      <c r="Y3166" s="5"/>
      <c r="Z3166" s="5"/>
    </row>
    <row r="3167" spans="1:26" ht="15.6" x14ac:dyDescent="0.3">
      <c r="A3167" s="18" t="s">
        <v>23</v>
      </c>
      <c r="B3167" s="25" t="s">
        <v>3157</v>
      </c>
      <c r="C3167" s="2" t="str">
        <f ca="1">IFERROR(__xludf.DUMMYFUNCTION("GOOGLETRANSLATE(B3167, ""bn"", ""en"")"),"So why are you doing this kind of abuse repeatedly on Pratima Rani Biswas? This willful behavior of yours must be judged.")</f>
        <v>So why are you doing this kind of abuse repeatedly on Pratima Rani Biswas? This willful behavior of yours must be judged.</v>
      </c>
      <c r="D3167" s="5"/>
      <c r="E3167" s="5"/>
      <c r="F3167" s="5"/>
      <c r="G3167" s="5"/>
      <c r="H3167" s="5"/>
      <c r="I3167" s="5"/>
      <c r="J3167" s="5"/>
      <c r="K3167" s="5"/>
      <c r="L3167" s="5"/>
      <c r="M3167" s="5"/>
      <c r="N3167" s="5"/>
      <c r="O3167" s="5"/>
      <c r="P3167" s="5"/>
      <c r="Q3167" s="5"/>
      <c r="R3167" s="5"/>
      <c r="S3167" s="5"/>
      <c r="T3167" s="5"/>
      <c r="U3167" s="5"/>
      <c r="V3167" s="5"/>
      <c r="W3167" s="5"/>
      <c r="X3167" s="5"/>
      <c r="Y3167" s="5"/>
      <c r="Z3167" s="5"/>
    </row>
    <row r="3168" spans="1:26" ht="15.6" x14ac:dyDescent="0.3">
      <c r="A3168" s="18" t="s">
        <v>5</v>
      </c>
      <c r="B3168" s="25" t="s">
        <v>3158</v>
      </c>
      <c r="C3168" s="2" t="str">
        <f ca="1">IFERROR(__xludf.DUMMYFUNCTION("GOOGLETRANSLATE(B3168, ""bn"", ""en"")"),"Atrocities such as keeping families alive in their homes, setting women on fire after gang-raping them, and dismembering children have been documented by Hindu extremists.")</f>
        <v>Atrocities such as keeping families alive in their homes, setting women on fire after gang-raping them, and dismembering children have been documented by Hindu extremists.</v>
      </c>
      <c r="D3168" s="5"/>
      <c r="E3168" s="5"/>
      <c r="F3168" s="5"/>
      <c r="G3168" s="5"/>
      <c r="H3168" s="5"/>
      <c r="I3168" s="5"/>
      <c r="J3168" s="5"/>
      <c r="K3168" s="5"/>
      <c r="L3168" s="5"/>
      <c r="M3168" s="5"/>
      <c r="N3168" s="5"/>
      <c r="O3168" s="5"/>
      <c r="P3168" s="5"/>
      <c r="Q3168" s="5"/>
      <c r="R3168" s="5"/>
      <c r="S3168" s="5"/>
      <c r="T3168" s="5"/>
      <c r="U3168" s="5"/>
      <c r="V3168" s="5"/>
      <c r="W3168" s="5"/>
      <c r="X3168" s="5"/>
      <c r="Y3168" s="5"/>
      <c r="Z3168" s="5"/>
    </row>
    <row r="3169" spans="1:26" ht="15.6" x14ac:dyDescent="0.3">
      <c r="A3169" s="18" t="s">
        <v>5</v>
      </c>
      <c r="B3169" s="24" t="s">
        <v>3159</v>
      </c>
      <c r="C3169" s="2" t="str">
        <f ca="1">IFERROR(__xludf.DUMMYFUNCTION("GOOGLETRANSLATE(B3169, ""bn"", ""en"")"),"A long-standing sectarian conflict in Narsingdi erupted into clashes, in which 31 people were killed. There was widespread arson and vandalism between the two communities. Security forces failed to bring the situation under control.")</f>
        <v>A long-standing sectarian conflict in Narsingdi erupted into clashes, in which 31 people were killed. There was widespread arson and vandalism between the two communities. Security forces failed to bring the situation under control.</v>
      </c>
      <c r="D3169" s="5"/>
      <c r="E3169" s="5"/>
      <c r="F3169" s="5"/>
      <c r="G3169" s="5"/>
      <c r="H3169" s="5"/>
      <c r="I3169" s="5"/>
      <c r="J3169" s="5"/>
      <c r="K3169" s="5"/>
      <c r="L3169" s="5"/>
      <c r="M3169" s="5"/>
      <c r="N3169" s="5"/>
      <c r="O3169" s="5"/>
      <c r="P3169" s="5"/>
      <c r="Q3169" s="5"/>
      <c r="R3169" s="5"/>
      <c r="S3169" s="5"/>
      <c r="T3169" s="5"/>
      <c r="U3169" s="5"/>
      <c r="V3169" s="5"/>
      <c r="W3169" s="5"/>
      <c r="X3169" s="5"/>
      <c r="Y3169" s="5"/>
      <c r="Z3169" s="5"/>
    </row>
    <row r="3170" spans="1:26" ht="15.6" x14ac:dyDescent="0.3">
      <c r="A3170" s="18" t="s">
        <v>3</v>
      </c>
      <c r="B3170" s="25" t="s">
        <v>3160</v>
      </c>
      <c r="C3170" s="2" t="str">
        <f ca="1">IFERROR(__xludf.DUMMYFUNCTION("GOOGLETRANSLATE(B3170, ""bn"", ""en"")"),"Christian brothers! The Qur'an that is burning has given honor and respect to Jesus to 200 million Muslims. The Qur'an which is burning gives honor and respect to Mary.")</f>
        <v>Christian brothers! The Qur'an that is burning has given honor and respect to Jesus to 200 million Muslims. The Qur'an which is burning gives honor and respect to Mary.</v>
      </c>
      <c r="D3170" s="5"/>
      <c r="E3170" s="5"/>
      <c r="F3170" s="5"/>
      <c r="G3170" s="5"/>
      <c r="H3170" s="5"/>
      <c r="I3170" s="5"/>
      <c r="J3170" s="5"/>
      <c r="K3170" s="5"/>
      <c r="L3170" s="5"/>
      <c r="M3170" s="5"/>
      <c r="N3170" s="5"/>
      <c r="O3170" s="5"/>
      <c r="P3170" s="5"/>
      <c r="Q3170" s="5"/>
      <c r="R3170" s="5"/>
      <c r="S3170" s="5"/>
      <c r="T3170" s="5"/>
      <c r="U3170" s="5"/>
      <c r="V3170" s="5"/>
      <c r="W3170" s="5"/>
      <c r="X3170" s="5"/>
      <c r="Y3170" s="5"/>
      <c r="Z3170" s="5"/>
    </row>
    <row r="3171" spans="1:26" ht="15.6" x14ac:dyDescent="0.3">
      <c r="A3171" s="19" t="s">
        <v>3</v>
      </c>
      <c r="B3171" s="26" t="s">
        <v>3161</v>
      </c>
      <c r="C3171" s="2" t="str">
        <f ca="1">IFERROR(__xludf.DUMMYFUNCTION("GOOGLETRANSLATE(B3171, ""bn"", ""en"")"),"The real aim of religion is to create peace, love and harmony in human life, which teaches everyone respect and compassion for each other.")</f>
        <v>The real aim of religion is to create peace, love and harmony in human life, which teaches everyone respect and compassion for each other.</v>
      </c>
      <c r="D3171" s="7"/>
      <c r="E3171" s="7"/>
      <c r="F3171" s="7"/>
      <c r="G3171" s="7"/>
      <c r="H3171" s="7"/>
      <c r="I3171" s="7"/>
      <c r="J3171" s="5"/>
      <c r="K3171" s="5"/>
      <c r="L3171" s="5"/>
      <c r="M3171" s="5"/>
      <c r="N3171" s="5"/>
      <c r="O3171" s="5"/>
      <c r="P3171" s="5"/>
      <c r="Q3171" s="5"/>
      <c r="R3171" s="5"/>
      <c r="S3171" s="5"/>
      <c r="T3171" s="5"/>
      <c r="U3171" s="5"/>
      <c r="V3171" s="5"/>
      <c r="W3171" s="5"/>
      <c r="X3171" s="5"/>
      <c r="Y3171" s="5"/>
      <c r="Z3171" s="5"/>
    </row>
    <row r="3172" spans="1:26" ht="15.6" x14ac:dyDescent="0.3">
      <c r="A3172" s="18" t="s">
        <v>5</v>
      </c>
      <c r="B3172" s="24" t="s">
        <v>3162</v>
      </c>
      <c r="C3172" s="2" t="str">
        <f ca="1">IFERROR(__xludf.DUMMYFUNCTION("GOOGLETRANSLATE(B3172, ""bn"", ""en"")"),"33 killed in religious sectarian clashes in Narsingdi; There is extensive damage.")</f>
        <v>33 killed in religious sectarian clashes in Narsingdi; There is extensive damage.</v>
      </c>
      <c r="D3172" s="5"/>
      <c r="E3172" s="5"/>
      <c r="F3172" s="5"/>
      <c r="G3172" s="5"/>
      <c r="H3172" s="5"/>
      <c r="I3172" s="5"/>
      <c r="J3172" s="5"/>
      <c r="K3172" s="5"/>
      <c r="L3172" s="5"/>
      <c r="M3172" s="5"/>
      <c r="N3172" s="5"/>
      <c r="O3172" s="5"/>
      <c r="P3172" s="5"/>
      <c r="Q3172" s="5"/>
      <c r="R3172" s="5"/>
      <c r="S3172" s="5"/>
      <c r="T3172" s="5"/>
      <c r="U3172" s="5"/>
      <c r="V3172" s="5"/>
      <c r="W3172" s="5"/>
      <c r="X3172" s="5"/>
      <c r="Y3172" s="5"/>
      <c r="Z3172" s="5"/>
    </row>
    <row r="3173" spans="1:26" ht="15.6" x14ac:dyDescent="0.3">
      <c r="A3173" s="18" t="s">
        <v>8</v>
      </c>
      <c r="B3173" s="24" t="s">
        <v>3163</v>
      </c>
      <c r="C3173" s="2" t="str">
        <f ca="1">IFERROR(__xludf.DUMMYFUNCTION("GOOGLETRANSLATE(B3173, ""bn"", ""en"")"),"On 31 December 2022, they broke into the Shiva temple at Fakirhat in Bagerhat and broke the Shiva linga and took away the bell from the top of the temple.")</f>
        <v>On 31 December 2022, they broke into the Shiva temple at Fakirhat in Bagerhat and broke the Shiva linga and took away the bell from the top of the temple.</v>
      </c>
      <c r="D3173" s="5"/>
      <c r="E3173" s="5"/>
      <c r="F3173" s="5"/>
      <c r="G3173" s="5"/>
      <c r="H3173" s="5"/>
      <c r="I3173" s="5"/>
      <c r="J3173" s="5"/>
      <c r="K3173" s="5"/>
      <c r="L3173" s="5"/>
      <c r="M3173" s="5"/>
      <c r="N3173" s="5"/>
      <c r="O3173" s="5"/>
      <c r="P3173" s="5"/>
      <c r="Q3173" s="5"/>
      <c r="R3173" s="5"/>
      <c r="S3173" s="5"/>
      <c r="T3173" s="5"/>
      <c r="U3173" s="5"/>
      <c r="V3173" s="5"/>
      <c r="W3173" s="5"/>
      <c r="X3173" s="5"/>
      <c r="Y3173" s="5"/>
      <c r="Z3173" s="5"/>
    </row>
    <row r="3174" spans="1:26" ht="15.6" x14ac:dyDescent="0.3">
      <c r="A3174" s="19" t="s">
        <v>23</v>
      </c>
      <c r="B3174" s="26" t="s">
        <v>3164</v>
      </c>
      <c r="C3174" s="2" t="str">
        <f ca="1">IFERROR(__xludf.DUMMYFUNCTION("GOOGLETRANSLATE(B3174, ""bn"", ""en"")"),"The fallen government has used murder and fear politics to establish power by suppressing religious organizations.")</f>
        <v>The fallen government has used murder and fear politics to establish power by suppressing religious organizations.</v>
      </c>
      <c r="D3174" s="7"/>
      <c r="E3174" s="7"/>
      <c r="F3174" s="7"/>
      <c r="G3174" s="7"/>
      <c r="H3174" s="5"/>
      <c r="I3174" s="5"/>
      <c r="J3174" s="5"/>
      <c r="K3174" s="5"/>
      <c r="L3174" s="5"/>
      <c r="M3174" s="5"/>
      <c r="N3174" s="5"/>
      <c r="O3174" s="5"/>
      <c r="P3174" s="5"/>
      <c r="Q3174" s="5"/>
      <c r="R3174" s="5"/>
      <c r="S3174" s="5"/>
      <c r="T3174" s="5"/>
      <c r="U3174" s="5"/>
      <c r="V3174" s="5"/>
      <c r="W3174" s="5"/>
      <c r="X3174" s="5"/>
      <c r="Y3174" s="5"/>
      <c r="Z3174" s="5"/>
    </row>
    <row r="3175" spans="1:26" ht="15.6" x14ac:dyDescent="0.3">
      <c r="A3175" s="18" t="s">
        <v>3</v>
      </c>
      <c r="B3175" s="25" t="s">
        <v>3165</v>
      </c>
      <c r="C3175" s="2" t="str">
        <f ca="1">IFERROR(__xludf.DUMMYFUNCTION("GOOGLETRANSLATE(B3175, ""bn"", ""en"")"),"We Muslims do not insult other religions, but they talk nonsense about our religion, which is forbidden.")</f>
        <v>We Muslims do not insult other religions, but they talk nonsense about our religion, which is forbidden.</v>
      </c>
      <c r="D3175" s="2"/>
      <c r="E3175" s="2"/>
      <c r="F3175" s="2"/>
      <c r="G3175" s="2"/>
      <c r="H3175" s="3"/>
      <c r="I3175" s="3"/>
      <c r="J3175" s="3"/>
      <c r="K3175" s="3"/>
      <c r="L3175" s="3"/>
      <c r="M3175" s="3"/>
      <c r="N3175" s="3"/>
      <c r="O3175" s="3"/>
      <c r="P3175" s="3"/>
      <c r="Q3175" s="3"/>
      <c r="R3175" s="3"/>
      <c r="S3175" s="3"/>
      <c r="T3175" s="3"/>
      <c r="U3175" s="3"/>
      <c r="V3175" s="3"/>
      <c r="W3175" s="3"/>
      <c r="X3175" s="3"/>
      <c r="Y3175" s="3"/>
      <c r="Z3175" s="3"/>
    </row>
    <row r="3176" spans="1:26" ht="15.6" x14ac:dyDescent="0.3">
      <c r="A3176" s="18" t="s">
        <v>23</v>
      </c>
      <c r="B3176" s="25" t="s">
        <v>3166</v>
      </c>
      <c r="C3176" s="2" t="str">
        <f ca="1">IFERROR(__xludf.DUMMYFUNCTION("GOOGLETRANSLATE(B3176, ""bn"", ""en"")"),"In what year were you arrested for preaching orthodox religion? And that history is the truth that you said?")</f>
        <v>In what year were you arrested for preaching orthodox religion? And that history is the truth that you said?</v>
      </c>
      <c r="D3176" s="2"/>
      <c r="E3176" s="2"/>
      <c r="F3176" s="2"/>
      <c r="G3176" s="2"/>
      <c r="H3176" s="5"/>
      <c r="I3176" s="5"/>
      <c r="J3176" s="5"/>
      <c r="K3176" s="5"/>
      <c r="L3176" s="5"/>
      <c r="M3176" s="5"/>
      <c r="N3176" s="5"/>
      <c r="O3176" s="5"/>
      <c r="P3176" s="5"/>
      <c r="Q3176" s="5"/>
      <c r="R3176" s="5"/>
      <c r="S3176" s="5"/>
      <c r="T3176" s="5"/>
      <c r="U3176" s="5"/>
      <c r="V3176" s="5"/>
      <c r="W3176" s="5"/>
      <c r="X3176" s="5"/>
      <c r="Y3176" s="5"/>
      <c r="Z3176" s="5"/>
    </row>
    <row r="3177" spans="1:26" ht="15.6" x14ac:dyDescent="0.3">
      <c r="A3177" s="19" t="s">
        <v>23</v>
      </c>
      <c r="B3177" s="26" t="s">
        <v>3167</v>
      </c>
      <c r="C3177" s="2" t="str">
        <f ca="1">IFERROR(__xludf.DUMMYFUNCTION("GOOGLETRANSLATE(B3177, ""bn"", ""en"")"),"Allah says, He is the One who sent down the Holy Qur'an and He Himself will guard it. He will destroy the plotters.")</f>
        <v>Allah says, He is the One who sent down the Holy Qur'an and He Himself will guard it. He will destroy the plotters.</v>
      </c>
      <c r="D3177" s="7"/>
      <c r="E3177" s="7"/>
      <c r="F3177" s="7"/>
      <c r="G3177" s="7"/>
      <c r="H3177" s="7"/>
      <c r="I3177" s="7"/>
      <c r="J3177" s="5"/>
      <c r="K3177" s="5"/>
      <c r="L3177" s="5"/>
      <c r="M3177" s="5"/>
      <c r="N3177" s="5"/>
      <c r="O3177" s="5"/>
      <c r="P3177" s="5"/>
      <c r="Q3177" s="5"/>
      <c r="R3177" s="5"/>
      <c r="S3177" s="5"/>
      <c r="T3177" s="5"/>
      <c r="U3177" s="5"/>
      <c r="V3177" s="5"/>
      <c r="W3177" s="5"/>
      <c r="X3177" s="5"/>
      <c r="Y3177" s="5"/>
      <c r="Z3177" s="5"/>
    </row>
    <row r="3178" spans="1:26" ht="15.6" x14ac:dyDescent="0.3">
      <c r="A3178" s="19" t="s">
        <v>23</v>
      </c>
      <c r="B3178" s="26" t="s">
        <v>3168</v>
      </c>
      <c r="C3178" s="2" t="str">
        <f ca="1">IFERROR(__xludf.DUMMYFUNCTION("GOOGLETRANSLATE(B3178, ""bn"", ""en"")"),"Recently, the head teacher of a school in Narayanganj, Shyamal Kanti, was assaulted and assaulted on the charge of insulting Islam.")</f>
        <v>Recently, the head teacher of a school in Narayanganj, Shyamal Kanti, was assaulted and assaulted on the charge of insulting Islam.</v>
      </c>
      <c r="D3178" s="7"/>
      <c r="E3178" s="7"/>
      <c r="F3178" s="7"/>
      <c r="G3178" s="7"/>
      <c r="H3178" s="7"/>
      <c r="I3178" s="5"/>
      <c r="J3178" s="5"/>
      <c r="K3178" s="5"/>
      <c r="L3178" s="5"/>
      <c r="M3178" s="5"/>
      <c r="N3178" s="5"/>
      <c r="O3178" s="5"/>
      <c r="P3178" s="5"/>
      <c r="Q3178" s="5"/>
      <c r="R3178" s="5"/>
      <c r="S3178" s="5"/>
      <c r="T3178" s="5"/>
      <c r="U3178" s="5"/>
      <c r="V3178" s="5"/>
      <c r="W3178" s="5"/>
      <c r="X3178" s="5"/>
      <c r="Y3178" s="5"/>
      <c r="Z3178" s="5"/>
    </row>
    <row r="3179" spans="1:26" ht="15.6" x14ac:dyDescent="0.3">
      <c r="A3179" s="18" t="s">
        <v>3</v>
      </c>
      <c r="B3179" s="25" t="s">
        <v>3169</v>
      </c>
      <c r="C3179" s="2" t="str">
        <f ca="1">IFERROR(__xludf.DUMMYFUNCTION("GOOGLETRANSLATE(B3179, ""bn"", ""en"")"),"Gandhiji's journey to Noakhali ignited new thinking towards Islam. AK Fazlul Haque said in 1947 that it paved the way for a deeper understanding of Islam.")</f>
        <v>Gandhiji's journey to Noakhali ignited new thinking towards Islam. AK Fazlul Haque said in 1947 that it paved the way for a deeper understanding of Islam.</v>
      </c>
      <c r="D3179" s="2"/>
      <c r="E3179" s="2"/>
      <c r="F3179" s="2"/>
      <c r="G3179" s="2"/>
      <c r="H3179" s="3"/>
      <c r="I3179" s="3"/>
      <c r="J3179" s="3"/>
      <c r="K3179" s="3"/>
      <c r="L3179" s="3"/>
      <c r="M3179" s="3"/>
      <c r="N3179" s="3"/>
      <c r="O3179" s="3"/>
      <c r="P3179" s="3"/>
      <c r="Q3179" s="3"/>
      <c r="R3179" s="3"/>
      <c r="S3179" s="3"/>
      <c r="T3179" s="3"/>
      <c r="U3179" s="3"/>
      <c r="V3179" s="3"/>
      <c r="W3179" s="3"/>
      <c r="X3179" s="3"/>
      <c r="Y3179" s="3"/>
      <c r="Z3179" s="3"/>
    </row>
    <row r="3180" spans="1:26" ht="15.6" x14ac:dyDescent="0.3">
      <c r="A3180" s="18" t="s">
        <v>5</v>
      </c>
      <c r="B3180" s="25" t="s">
        <v>3170</v>
      </c>
      <c r="C3180" s="2" t="str">
        <f ca="1">IFERROR(__xludf.DUMMYFUNCTION("GOOGLETRANSLATE(B3180, ""bn"", ""en"")"),"A few Hindu houses were torched in Comilla days after a man was beaten to death and set on fire in communal riots in Lalmonirhat.")</f>
        <v>A few Hindu houses were torched in Comilla days after a man was beaten to death and set on fire in communal riots in Lalmonirhat.</v>
      </c>
      <c r="D3180" s="2"/>
      <c r="E3180" s="2"/>
      <c r="F3180" s="2"/>
      <c r="G3180" s="2"/>
      <c r="H3180" s="5"/>
      <c r="I3180" s="5"/>
      <c r="J3180" s="5"/>
      <c r="K3180" s="5"/>
      <c r="L3180" s="5"/>
      <c r="M3180" s="5"/>
      <c r="N3180" s="5"/>
      <c r="O3180" s="5"/>
      <c r="P3180" s="5"/>
      <c r="Q3180" s="5"/>
      <c r="R3180" s="5"/>
      <c r="S3180" s="5"/>
      <c r="T3180" s="5"/>
      <c r="U3180" s="5"/>
      <c r="V3180" s="5"/>
      <c r="W3180" s="5"/>
      <c r="X3180" s="5"/>
      <c r="Y3180" s="5"/>
      <c r="Z3180" s="5"/>
    </row>
    <row r="3181" spans="1:26" ht="15.6" x14ac:dyDescent="0.3">
      <c r="A3181" s="19" t="s">
        <v>5</v>
      </c>
      <c r="B3181" s="26" t="s">
        <v>3171</v>
      </c>
      <c r="C3181" s="2" t="str">
        <f ca="1">IFERROR(__xludf.DUMMYFUNCTION("GOOGLETRANSLATE(B3181, ""bn"", ""en"")"),"Other reports put the death toll at around 100 and suggested more than 40 women were sexually assaulted and many Christians were forced to convert to Hinduism under threats of violence.")</f>
        <v>Other reports put the death toll at around 100 and suggested more than 40 women were sexually assaulted and many Christians were forced to convert to Hinduism under threats of violence.</v>
      </c>
      <c r="D3181" s="5"/>
      <c r="E3181" s="5"/>
      <c r="F3181" s="5"/>
      <c r="G3181" s="5"/>
      <c r="H3181" s="5"/>
      <c r="I3181" s="5"/>
      <c r="J3181" s="5"/>
      <c r="K3181" s="5"/>
      <c r="L3181" s="5"/>
      <c r="M3181" s="5"/>
      <c r="N3181" s="5"/>
      <c r="O3181" s="5"/>
      <c r="P3181" s="5"/>
      <c r="Q3181" s="5"/>
      <c r="R3181" s="5"/>
      <c r="S3181" s="5"/>
      <c r="T3181" s="5"/>
      <c r="U3181" s="5"/>
      <c r="V3181" s="5"/>
      <c r="W3181" s="5"/>
      <c r="X3181" s="5"/>
      <c r="Y3181" s="5"/>
      <c r="Z3181" s="5"/>
    </row>
    <row r="3182" spans="1:26" ht="15.6" x14ac:dyDescent="0.3">
      <c r="A3182" s="19" t="s">
        <v>23</v>
      </c>
      <c r="B3182" s="26" t="s">
        <v>3172</v>
      </c>
      <c r="C3182" s="2" t="str">
        <f ca="1">IFERROR(__xludf.DUMMYFUNCTION("GOOGLETRANSLATE(B3182, ""bn"", ""en"")"),"If you compare the sex scandals of madrasas and general education institutions, you can see a stark difference. The general rate is much higher; But Googler[yellow] media doesn't highlight things.")</f>
        <v>If you compare the sex scandals of madrasas and general education institutions, you can see a stark difference. The general rate is much higher; But Googler[yellow] media doesn't highlight things.</v>
      </c>
      <c r="D3182" s="5"/>
      <c r="E3182" s="5"/>
      <c r="F3182" s="5"/>
      <c r="G3182" s="5"/>
      <c r="H3182" s="5"/>
      <c r="I3182" s="5"/>
      <c r="J3182" s="5"/>
      <c r="K3182" s="5"/>
      <c r="L3182" s="5"/>
      <c r="M3182" s="5"/>
      <c r="N3182" s="5"/>
      <c r="O3182" s="5"/>
      <c r="P3182" s="5"/>
      <c r="Q3182" s="5"/>
      <c r="R3182" s="5"/>
      <c r="S3182" s="5"/>
      <c r="T3182" s="5"/>
      <c r="U3182" s="5"/>
      <c r="V3182" s="5"/>
      <c r="W3182" s="5"/>
      <c r="X3182" s="5"/>
      <c r="Y3182" s="5"/>
      <c r="Z3182" s="5"/>
    </row>
    <row r="3183" spans="1:26" ht="15.6" x14ac:dyDescent="0.3">
      <c r="A3183" s="18" t="s">
        <v>3</v>
      </c>
      <c r="B3183" s="25" t="s">
        <v>3173</v>
      </c>
      <c r="C3183" s="2" t="str">
        <f ca="1">IFERROR(__xludf.DUMMYFUNCTION("GOOGLETRANSLATE(B3183, ""bn"", ""en"")"),"The strong attachment to the principles of Quranic revelation and the clear socio-economic content of Islamic religious practice further strengthened this bond of faith.")</f>
        <v>The strong attachment to the principles of Quranic revelation and the clear socio-economic content of Islamic religious practice further strengthened this bond of faith.</v>
      </c>
      <c r="D3183" s="2"/>
      <c r="E3183" s="2"/>
      <c r="F3183" s="2"/>
      <c r="G3183" s="2"/>
      <c r="H3183" s="5"/>
      <c r="I3183" s="5"/>
      <c r="J3183" s="5"/>
      <c r="K3183" s="5"/>
      <c r="L3183" s="5"/>
      <c r="M3183" s="5"/>
      <c r="N3183" s="5"/>
      <c r="O3183" s="5"/>
      <c r="P3183" s="5"/>
      <c r="Q3183" s="5"/>
      <c r="R3183" s="5"/>
      <c r="S3183" s="5"/>
      <c r="T3183" s="5"/>
      <c r="U3183" s="5"/>
      <c r="V3183" s="5"/>
      <c r="W3183" s="5"/>
      <c r="X3183" s="5"/>
      <c r="Y3183" s="5"/>
      <c r="Z3183" s="5"/>
    </row>
    <row r="3184" spans="1:26" ht="15.6" x14ac:dyDescent="0.3">
      <c r="A3184" s="18" t="s">
        <v>3</v>
      </c>
      <c r="B3184" s="25" t="s">
        <v>3174</v>
      </c>
      <c r="C3184" s="2" t="str">
        <f ca="1">IFERROR(__xludf.DUMMYFUNCTION("GOOGLETRANSLATE(B3184, ""bn"", ""en"")"),"Do you know how this religion was in ancient Bengal? What religion did the previous generation of Bengali adopt?")</f>
        <v>Do you know how this religion was in ancient Bengal? What religion did the previous generation of Bengali adopt?</v>
      </c>
      <c r="D3184" s="5"/>
      <c r="E3184" s="5"/>
      <c r="F3184" s="5"/>
      <c r="G3184" s="5"/>
      <c r="H3184" s="5"/>
      <c r="I3184" s="5"/>
      <c r="J3184" s="5"/>
      <c r="K3184" s="5"/>
      <c r="L3184" s="5"/>
      <c r="M3184" s="5"/>
      <c r="N3184" s="5"/>
      <c r="O3184" s="5"/>
      <c r="P3184" s="5"/>
      <c r="Q3184" s="5"/>
      <c r="R3184" s="5"/>
      <c r="S3184" s="5"/>
      <c r="T3184" s="5"/>
      <c r="U3184" s="5"/>
      <c r="V3184" s="5"/>
      <c r="W3184" s="5"/>
      <c r="X3184" s="5"/>
      <c r="Y3184" s="5"/>
      <c r="Z3184" s="5"/>
    </row>
    <row r="3185" spans="1:26" ht="15.6" x14ac:dyDescent="0.3">
      <c r="A3185" s="19" t="s">
        <v>23</v>
      </c>
      <c r="B3185" s="26" t="s">
        <v>3175</v>
      </c>
      <c r="C3185" s="2" t="str">
        <f ca="1">IFERROR(__xludf.DUMMYFUNCTION("GOOGLETRANSLATE(B3185, ""bn"", ""en"")"),"Her mother's vermilion led to the mistaken impression that she was Muslim, which clearly led to some negative comments.")</f>
        <v>Her mother's vermilion led to the mistaken impression that she was Muslim, which clearly led to some negative comments.</v>
      </c>
      <c r="D3185" s="7"/>
      <c r="E3185" s="7"/>
      <c r="F3185" s="7"/>
      <c r="G3185" s="5"/>
      <c r="H3185" s="5"/>
      <c r="I3185" s="5"/>
      <c r="J3185" s="5"/>
      <c r="K3185" s="5"/>
      <c r="L3185" s="5"/>
      <c r="M3185" s="5"/>
      <c r="N3185" s="5"/>
      <c r="O3185" s="5"/>
      <c r="P3185" s="5"/>
      <c r="Q3185" s="5"/>
      <c r="R3185" s="5"/>
      <c r="S3185" s="5"/>
      <c r="T3185" s="5"/>
      <c r="U3185" s="5"/>
      <c r="V3185" s="5"/>
      <c r="W3185" s="5"/>
      <c r="X3185" s="5"/>
      <c r="Y3185" s="5"/>
      <c r="Z3185" s="5"/>
    </row>
    <row r="3186" spans="1:26" ht="15.6" x14ac:dyDescent="0.3">
      <c r="A3186" s="18" t="s">
        <v>3</v>
      </c>
      <c r="B3186" s="25" t="s">
        <v>3176</v>
      </c>
      <c r="C3186" s="2" t="str">
        <f ca="1">IFERROR(__xludf.DUMMYFUNCTION("GOOGLETRANSLATE(B3186, ""bn"", ""en"")"),"My humble request to Quran detractors and those who have negative ideas about Quran, read the translation of Quran once from cover to cover with a completely open mind. I believe, like the mushriks of Makkah, your mind will also testify that it is not the"&amp;" words of a man.")</f>
        <v>My humble request to Quran detractors and those who have negative ideas about Quran, read the translation of Quran once from cover to cover with a completely open mind. I believe, like the mushriks of Makkah, your mind will also testify that it is not the words of a man.</v>
      </c>
      <c r="D3186" s="6"/>
      <c r="E3186" s="6"/>
      <c r="F3186" s="2"/>
      <c r="G3186" s="2"/>
      <c r="H3186" s="3"/>
      <c r="I3186" s="3"/>
      <c r="J3186" s="3"/>
      <c r="K3186" s="3"/>
      <c r="L3186" s="3"/>
      <c r="M3186" s="3"/>
      <c r="N3186" s="3"/>
      <c r="O3186" s="3"/>
      <c r="P3186" s="3"/>
      <c r="Q3186" s="3"/>
      <c r="R3186" s="3"/>
      <c r="S3186" s="3"/>
      <c r="T3186" s="3"/>
      <c r="U3186" s="3"/>
      <c r="V3186" s="3"/>
      <c r="W3186" s="3"/>
      <c r="X3186" s="3"/>
      <c r="Y3186" s="3"/>
      <c r="Z3186" s="3"/>
    </row>
    <row r="3187" spans="1:26" ht="15.6" x14ac:dyDescent="0.3">
      <c r="A3187" s="19" t="s">
        <v>5</v>
      </c>
      <c r="B3187" s="26" t="s">
        <v>3177</v>
      </c>
      <c r="C3187" s="2" t="str">
        <f ca="1">IFERROR(__xludf.DUMMYFUNCTION("GOOGLETRANSLATE(B3187, ""bn"", ""en"")"),"Dilanwaz Pasha, chairman of the mosque's management committee, said, ""Our Imam Saad was killed and several others were injured in the attack.")</f>
        <v>Dilanwaz Pasha, chairman of the mosque's management committee, said, "Our Imam Saad was killed and several others were injured in the attack.</v>
      </c>
      <c r="D3187" s="7"/>
      <c r="E3187" s="7"/>
      <c r="F3187" s="7"/>
      <c r="G3187" s="7"/>
      <c r="H3187" s="7"/>
      <c r="I3187" s="7"/>
      <c r="J3187" s="7"/>
      <c r="K3187" s="7"/>
      <c r="L3187" s="5"/>
      <c r="M3187" s="5"/>
      <c r="N3187" s="5"/>
      <c r="O3187" s="5"/>
      <c r="P3187" s="5"/>
      <c r="Q3187" s="5"/>
      <c r="R3187" s="5"/>
      <c r="S3187" s="5"/>
      <c r="T3187" s="5"/>
      <c r="U3187" s="5"/>
      <c r="V3187" s="5"/>
      <c r="W3187" s="5"/>
      <c r="X3187" s="5"/>
      <c r="Y3187" s="5"/>
      <c r="Z3187" s="5"/>
    </row>
    <row r="3188" spans="1:26" ht="15.6" x14ac:dyDescent="0.3">
      <c r="A3188" s="18" t="s">
        <v>5</v>
      </c>
      <c r="B3188" s="24" t="s">
        <v>3178</v>
      </c>
      <c r="C3188" s="2" t="str">
        <f ca="1">IFERROR(__xludf.DUMMYFUNCTION("GOOGLETRANSLATE(B3188, ""bn"", ""en"")"),"A child was beaten to death for not teaching religious lessons to spread religious hatred, 14 people were killed in protest violence.")</f>
        <v>A child was beaten to death for not teaching religious lessons to spread religious hatred, 14 people were killed in protest violence.</v>
      </c>
      <c r="D3188" s="5"/>
      <c r="E3188" s="5"/>
      <c r="F3188" s="5"/>
      <c r="G3188" s="5"/>
      <c r="H3188" s="5"/>
      <c r="I3188" s="5"/>
      <c r="J3188" s="5"/>
      <c r="K3188" s="5"/>
      <c r="L3188" s="5"/>
      <c r="M3188" s="5"/>
      <c r="N3188" s="5"/>
      <c r="O3188" s="5"/>
      <c r="P3188" s="5"/>
      <c r="Q3188" s="5"/>
      <c r="R3188" s="5"/>
      <c r="S3188" s="5"/>
      <c r="T3188" s="5"/>
      <c r="U3188" s="5"/>
      <c r="V3188" s="5"/>
      <c r="W3188" s="5"/>
      <c r="X3188" s="5"/>
      <c r="Y3188" s="5"/>
      <c r="Z3188" s="5"/>
    </row>
    <row r="3189" spans="1:26" ht="15.6" x14ac:dyDescent="0.3">
      <c r="A3189" s="18" t="s">
        <v>5</v>
      </c>
      <c r="B3189" s="24" t="s">
        <v>3179</v>
      </c>
      <c r="C3189" s="2" t="str">
        <f ca="1">IFERROR(__xludf.DUMMYFUNCTION("GOOGLETRANSLATE(B3189, ""bn"", ""en"")"),"43 people lost their lives in clashes between religious groups in Bogra. Police failed to control the situation but the government called for peace. Many families seek shelter for safety.")</f>
        <v>43 people lost their lives in clashes between religious groups in Bogra. Police failed to control the situation but the government called for peace. Many families seek shelter for safety.</v>
      </c>
      <c r="D3189" s="5"/>
      <c r="E3189" s="5"/>
      <c r="F3189" s="5"/>
      <c r="G3189" s="5"/>
      <c r="H3189" s="5"/>
      <c r="I3189" s="5"/>
      <c r="J3189" s="5"/>
      <c r="K3189" s="5"/>
      <c r="L3189" s="5"/>
      <c r="M3189" s="5"/>
      <c r="N3189" s="5"/>
      <c r="O3189" s="5"/>
      <c r="P3189" s="5"/>
      <c r="Q3189" s="5"/>
      <c r="R3189" s="5"/>
      <c r="S3189" s="5"/>
      <c r="T3189" s="5"/>
      <c r="U3189" s="5"/>
      <c r="V3189" s="5"/>
      <c r="W3189" s="5"/>
      <c r="X3189" s="5"/>
      <c r="Y3189" s="5"/>
      <c r="Z3189" s="5"/>
    </row>
    <row r="3190" spans="1:26" ht="15.6" x14ac:dyDescent="0.3">
      <c r="A3190" s="19" t="s">
        <v>8</v>
      </c>
      <c r="B3190" s="26" t="s">
        <v>3180</v>
      </c>
      <c r="C3190" s="2" t="str">
        <f ca="1">IFERROR(__xludf.DUMMYFUNCTION("GOOGLETRANSLATE(B3190, ""bn"", ""en"")"),"The militant group threatened to stop the construction of the temple on the minority land in Gaurnadi in Barisal and later destroyed the temple structure.")</f>
        <v>The militant group threatened to stop the construction of the temple on the minority land in Gaurnadi in Barisal and later destroyed the temple structure.</v>
      </c>
      <c r="D3190" s="5"/>
      <c r="E3190" s="5"/>
      <c r="F3190" s="5"/>
      <c r="G3190" s="5"/>
      <c r="H3190" s="5"/>
      <c r="I3190" s="5"/>
      <c r="J3190" s="5"/>
      <c r="K3190" s="5"/>
      <c r="L3190" s="5"/>
      <c r="M3190" s="5"/>
      <c r="N3190" s="5"/>
      <c r="O3190" s="5"/>
      <c r="P3190" s="5"/>
      <c r="Q3190" s="5"/>
      <c r="R3190" s="5"/>
      <c r="S3190" s="5"/>
      <c r="T3190" s="5"/>
      <c r="U3190" s="5"/>
      <c r="V3190" s="5"/>
      <c r="W3190" s="5"/>
      <c r="X3190" s="5"/>
      <c r="Y3190" s="5"/>
      <c r="Z3190" s="5"/>
    </row>
    <row r="3191" spans="1:26" ht="15.6" x14ac:dyDescent="0.3">
      <c r="A3191" s="18" t="s">
        <v>5</v>
      </c>
      <c r="B3191" s="25" t="s">
        <v>3181</v>
      </c>
      <c r="C3191" s="2" t="str">
        <f ca="1">IFERROR(__xludf.DUMMYFUNCTION("GOOGLETRANSLATE(B3191, ""bn"", ""en"")"),"According to the 'Sampradayik Chalchitra' report from March to September of this year, 17 murders, 10 victims of attempted murders, 11 victims of murder, 30 victims of rape and torture, 6 victims of rape attempts and 3 suicides due to molestation of relig"&amp;"ious minorities have been reported.")</f>
        <v>According to the 'Sampradayik Chalchitra' report from March to September of this year, 17 murders, 10 victims of attempted murders, 11 victims of murder, 30 victims of rape and torture, 6 victims of rape attempts and 3 suicides due to molestation of religious minorities have been reported.</v>
      </c>
      <c r="D3191" s="6"/>
      <c r="E3191" s="6"/>
      <c r="F3191" s="6"/>
      <c r="G3191" s="6"/>
      <c r="H3191" s="3"/>
      <c r="I3191" s="3"/>
      <c r="J3191" s="3"/>
      <c r="K3191" s="3"/>
      <c r="L3191" s="3"/>
      <c r="M3191" s="3"/>
      <c r="N3191" s="3"/>
      <c r="O3191" s="3"/>
      <c r="P3191" s="3"/>
      <c r="Q3191" s="3"/>
      <c r="R3191" s="3"/>
      <c r="S3191" s="3"/>
      <c r="T3191" s="3"/>
      <c r="U3191" s="3"/>
      <c r="V3191" s="3"/>
      <c r="W3191" s="3"/>
      <c r="X3191" s="3"/>
      <c r="Y3191" s="3"/>
      <c r="Z3191" s="3"/>
    </row>
    <row r="3192" spans="1:26" ht="15.6" x14ac:dyDescent="0.3">
      <c r="A3192" s="18" t="s">
        <v>8</v>
      </c>
      <c r="B3192" s="25" t="s">
        <v>3182</v>
      </c>
      <c r="C3192" s="2" t="str">
        <f ca="1">IFERROR(__xludf.DUMMYFUNCTION("GOOGLETRANSLATE(B3192, ""bn"", ""en"")"),"Shouldn't the Koranic birds be allowed to vandalize and set fire to Hindu houses without firing a shot?")</f>
        <v>Shouldn't the Koranic birds be allowed to vandalize and set fire to Hindu houses without firing a shot?</v>
      </c>
      <c r="D3192" s="5"/>
      <c r="E3192" s="5"/>
      <c r="F3192" s="5"/>
      <c r="G3192" s="5"/>
      <c r="H3192" s="5"/>
      <c r="I3192" s="5"/>
      <c r="J3192" s="5"/>
      <c r="K3192" s="5"/>
      <c r="L3192" s="5"/>
      <c r="M3192" s="5"/>
      <c r="N3192" s="5"/>
      <c r="O3192" s="5"/>
      <c r="P3192" s="5"/>
      <c r="Q3192" s="5"/>
      <c r="R3192" s="5"/>
      <c r="S3192" s="5"/>
      <c r="T3192" s="5"/>
      <c r="U3192" s="5"/>
      <c r="V3192" s="5"/>
      <c r="W3192" s="5"/>
      <c r="X3192" s="5"/>
      <c r="Y3192" s="5"/>
      <c r="Z3192" s="5"/>
    </row>
    <row r="3193" spans="1:26" ht="15.6" x14ac:dyDescent="0.3">
      <c r="A3193" s="18" t="s">
        <v>3</v>
      </c>
      <c r="B3193" s="25" t="s">
        <v>3183</v>
      </c>
      <c r="C3193" s="2" t="str">
        <f ca="1">IFERROR(__xludf.DUMMYFUNCTION("GOOGLETRANSLATE(B3193, ""bn"", ""en"")"),"I heard the best words of my life today, this Tawfiq this mercy has been given to me by the great Rabi, my good fortune Alhamdulillah.")</f>
        <v>I heard the best words of my life today, this Tawfiq this mercy has been given to me by the great Rabi, my good fortune Alhamdulillah.</v>
      </c>
      <c r="D3193" s="7"/>
      <c r="E3193" s="7"/>
      <c r="F3193" s="5"/>
      <c r="G3193" s="5"/>
      <c r="H3193" s="5"/>
      <c r="I3193" s="5"/>
      <c r="J3193" s="5"/>
      <c r="K3193" s="5"/>
      <c r="L3193" s="5"/>
      <c r="M3193" s="5"/>
      <c r="N3193" s="5"/>
      <c r="O3193" s="5"/>
      <c r="P3193" s="5"/>
      <c r="Q3193" s="5"/>
      <c r="R3193" s="5"/>
      <c r="S3193" s="5"/>
      <c r="T3193" s="5"/>
      <c r="U3193" s="5"/>
      <c r="V3193" s="5"/>
      <c r="W3193" s="5"/>
      <c r="X3193" s="5"/>
      <c r="Y3193" s="5"/>
      <c r="Z3193" s="5"/>
    </row>
    <row r="3194" spans="1:26" ht="15.6" x14ac:dyDescent="0.3">
      <c r="A3194" s="18" t="s">
        <v>3</v>
      </c>
      <c r="B3194" s="25" t="s">
        <v>3184</v>
      </c>
      <c r="C3194" s="2" t="str">
        <f ca="1">IFERROR(__xludf.DUMMYFUNCTION("GOOGLETRANSLATE(B3194, ""bn"", ""en"")"),"Gautama Buddha did not realize the existence of God from his practical life and his own reality")</f>
        <v>Gautama Buddha did not realize the existence of God from his practical life and his own reality</v>
      </c>
      <c r="D3194" s="5"/>
      <c r="E3194" s="5"/>
      <c r="F3194" s="5"/>
      <c r="G3194" s="5"/>
      <c r="H3194" s="5"/>
      <c r="I3194" s="5"/>
      <c r="J3194" s="5"/>
      <c r="K3194" s="5"/>
      <c r="L3194" s="5"/>
      <c r="M3194" s="5"/>
      <c r="N3194" s="5"/>
      <c r="O3194" s="5"/>
      <c r="P3194" s="5"/>
      <c r="Q3194" s="5"/>
      <c r="R3194" s="5"/>
      <c r="S3194" s="5"/>
      <c r="T3194" s="5"/>
      <c r="U3194" s="5"/>
      <c r="V3194" s="5"/>
      <c r="W3194" s="5"/>
      <c r="X3194" s="5"/>
      <c r="Y3194" s="5"/>
      <c r="Z3194" s="5"/>
    </row>
    <row r="3195" spans="1:26" ht="15.6" x14ac:dyDescent="0.3">
      <c r="A3195" s="18" t="s">
        <v>5</v>
      </c>
      <c r="B3195" s="24" t="s">
        <v>3185</v>
      </c>
      <c r="C3195" s="2" t="str">
        <f ca="1">IFERROR(__xludf.DUMMYFUNCTION("GOOGLETRANSLATE(B3195, ""bn"", ""en"")"),"In December 2017, a young man was killed after apostatizing from a religious group; 18 people were killed in the protest.")</f>
        <v>In December 2017, a young man was killed after apostatizing from a religious group; 18 people were killed in the protest.</v>
      </c>
      <c r="D3195" s="5"/>
      <c r="E3195" s="5"/>
      <c r="F3195" s="5"/>
      <c r="G3195" s="5"/>
      <c r="H3195" s="5"/>
      <c r="I3195" s="5"/>
      <c r="J3195" s="5"/>
      <c r="K3195" s="5"/>
      <c r="L3195" s="5"/>
      <c r="M3195" s="5"/>
      <c r="N3195" s="5"/>
      <c r="O3195" s="5"/>
      <c r="P3195" s="5"/>
      <c r="Q3195" s="5"/>
      <c r="R3195" s="5"/>
      <c r="S3195" s="5"/>
      <c r="T3195" s="5"/>
      <c r="U3195" s="5"/>
      <c r="V3195" s="5"/>
      <c r="W3195" s="5"/>
      <c r="X3195" s="5"/>
      <c r="Y3195" s="5"/>
      <c r="Z3195" s="5"/>
    </row>
    <row r="3196" spans="1:26" ht="15.6" x14ac:dyDescent="0.3">
      <c r="A3196" s="19" t="s">
        <v>8</v>
      </c>
      <c r="B3196" s="26" t="s">
        <v>3186</v>
      </c>
      <c r="C3196" s="2" t="str">
        <f ca="1">IFERROR(__xludf.DUMMYFUNCTION("GOOGLETRANSLATE(B3196, ""bn"", ""en"")"),"On October 29, 2016, in Nasirnagar, Brahmanbaria, a group of youths beat him up and handed him over to the police after alleging that 'a young man named Rasraj Das had posted defamatory pictures on Facebook'.")</f>
        <v>On October 29, 2016, in Nasirnagar, Brahmanbaria, a group of youths beat him up and handed him over to the police after alleging that 'a young man named Rasraj Das had posted defamatory pictures on Facebook'.</v>
      </c>
      <c r="D3196" s="5"/>
      <c r="E3196" s="5"/>
      <c r="F3196" s="5"/>
      <c r="G3196" s="5"/>
      <c r="H3196" s="5"/>
      <c r="I3196" s="5"/>
      <c r="J3196" s="5"/>
      <c r="K3196" s="5"/>
      <c r="L3196" s="5"/>
      <c r="M3196" s="5"/>
      <c r="N3196" s="5"/>
      <c r="O3196" s="5"/>
      <c r="P3196" s="5"/>
      <c r="Q3196" s="5"/>
      <c r="R3196" s="5"/>
      <c r="S3196" s="5"/>
      <c r="T3196" s="5"/>
      <c r="U3196" s="5"/>
      <c r="V3196" s="5"/>
      <c r="W3196" s="5"/>
      <c r="X3196" s="5"/>
      <c r="Y3196" s="5"/>
      <c r="Z3196" s="5"/>
    </row>
    <row r="3197" spans="1:26" ht="15.6" x14ac:dyDescent="0.3">
      <c r="A3197" s="18" t="s">
        <v>8</v>
      </c>
      <c r="B3197" s="25" t="s">
        <v>3187</v>
      </c>
      <c r="C3197" s="2" t="str">
        <f ca="1">IFERROR(__xludf.DUMMYFUNCTION("GOOGLETRANSLATE(B3197, ""bn"", ""en"")"),"A knife-wielding attack on Somali Muslim immigrants in Ohio has sparked anti-immigrant and anti-Muslim sentiment.")</f>
        <v>A knife-wielding attack on Somali Muslim immigrants in Ohio has sparked anti-immigrant and anti-Muslim sentiment.</v>
      </c>
      <c r="D3197" s="5"/>
      <c r="E3197" s="5"/>
      <c r="F3197" s="5"/>
      <c r="G3197" s="5"/>
      <c r="H3197" s="5"/>
      <c r="I3197" s="5"/>
      <c r="J3197" s="5"/>
      <c r="K3197" s="5"/>
      <c r="L3197" s="5"/>
      <c r="M3197" s="5"/>
      <c r="N3197" s="5"/>
      <c r="O3197" s="5"/>
      <c r="P3197" s="5"/>
      <c r="Q3197" s="5"/>
      <c r="R3197" s="5"/>
      <c r="S3197" s="5"/>
      <c r="T3197" s="5"/>
      <c r="U3197" s="5"/>
      <c r="V3197" s="5"/>
      <c r="W3197" s="5"/>
      <c r="X3197" s="5"/>
      <c r="Y3197" s="5"/>
      <c r="Z3197" s="5"/>
    </row>
    <row r="3198" spans="1:26" ht="15.6" x14ac:dyDescent="0.3">
      <c r="A3198" s="18" t="s">
        <v>8</v>
      </c>
      <c r="B3198" s="24" t="s">
        <v>3188</v>
      </c>
      <c r="C3198" s="2" t="str">
        <f ca="1">IFERROR(__xludf.DUMMYFUNCTION("GOOGLETRANSLATE(B3198, ""bn"", ""en"")"),"6 June 2022 Miscreants broke into a Durga temple at Hathazari in Chittagong early in the morning and broke the head and crown of the main idol.")</f>
        <v>6 June 2022 Miscreants broke into a Durga temple at Hathazari in Chittagong early in the morning and broke the head and crown of the main idol.</v>
      </c>
      <c r="D3198" s="5"/>
      <c r="E3198" s="5"/>
      <c r="F3198" s="5"/>
      <c r="G3198" s="5"/>
      <c r="H3198" s="5"/>
      <c r="I3198" s="5"/>
      <c r="J3198" s="5"/>
      <c r="K3198" s="5"/>
      <c r="L3198" s="5"/>
      <c r="M3198" s="5"/>
      <c r="N3198" s="5"/>
      <c r="O3198" s="5"/>
      <c r="P3198" s="5"/>
      <c r="Q3198" s="5"/>
      <c r="R3198" s="5"/>
      <c r="S3198" s="5"/>
      <c r="T3198" s="5"/>
      <c r="U3198" s="5"/>
      <c r="V3198" s="5"/>
      <c r="W3198" s="5"/>
      <c r="X3198" s="5"/>
      <c r="Y3198" s="5"/>
      <c r="Z3198" s="5"/>
    </row>
    <row r="3199" spans="1:26" ht="15.6" x14ac:dyDescent="0.3">
      <c r="A3199" s="19" t="s">
        <v>5</v>
      </c>
      <c r="B3199" s="26" t="s">
        <v>3189</v>
      </c>
      <c r="C3199" s="2" t="str">
        <f ca="1">IFERROR(__xludf.DUMMYFUNCTION("GOOGLETRANSLATE(B3199, ""bn"", ""en"")"),"At one place in Bangladesh, the army and its allies lined up Hindu men and machine-gunned them to death and buried the bodies by a river.")</f>
        <v>At one place in Bangladesh, the army and its allies lined up Hindu men and machine-gunned them to death and buried the bodies by a river.</v>
      </c>
      <c r="D3199" s="7"/>
      <c r="E3199" s="7"/>
      <c r="F3199" s="7"/>
      <c r="G3199" s="7"/>
      <c r="H3199" s="7"/>
      <c r="I3199" s="7"/>
      <c r="J3199" s="7"/>
      <c r="K3199" s="5"/>
      <c r="L3199" s="5"/>
      <c r="M3199" s="5"/>
      <c r="N3199" s="5"/>
      <c r="O3199" s="5"/>
      <c r="P3199" s="5"/>
      <c r="Q3199" s="5"/>
      <c r="R3199" s="5"/>
      <c r="S3199" s="5"/>
      <c r="T3199" s="5"/>
      <c r="U3199" s="5"/>
      <c r="V3199" s="5"/>
      <c r="W3199" s="5"/>
      <c r="X3199" s="5"/>
      <c r="Y3199" s="5"/>
      <c r="Z3199" s="5"/>
    </row>
    <row r="3200" spans="1:26" ht="15.6" x14ac:dyDescent="0.3">
      <c r="A3200" s="18" t="s">
        <v>23</v>
      </c>
      <c r="B3200" s="25" t="s">
        <v>3190</v>
      </c>
      <c r="C3200" s="2" t="str">
        <f ca="1">IFERROR(__xludf.DUMMYFUNCTION("GOOGLETRANSLATE(B3200, ""bn"", ""en"")"),"A Quran on the lap of a Hanuman idol outside a pujamandapa near Nanuardighi in Comilla city on the Ashtami day during Durga Puja, Wednesday, 13 October 2021. can be seen After seeing the matter, someone informed the Bangladesh National Emergency Service 9"&amp;"99 and the officer in charge of Comilla Kotwali police station came and removed it.")</f>
        <v>A Quran on the lap of a Hanuman idol outside a pujamandapa near Nanuardighi in Comilla city on the Ashtami day during Durga Puja, Wednesday, 13 October 2021. can be seen After seeing the matter, someone informed the Bangladesh National Emergency Service 999 and the officer in charge of Comilla Kotwali police station came and removed it.</v>
      </c>
      <c r="D3200" s="5"/>
      <c r="E3200" s="5"/>
      <c r="F3200" s="5"/>
      <c r="G3200" s="5"/>
      <c r="H3200" s="5"/>
      <c r="I3200" s="5"/>
      <c r="J3200" s="5"/>
      <c r="K3200" s="5"/>
      <c r="L3200" s="5"/>
      <c r="M3200" s="5"/>
      <c r="N3200" s="5"/>
      <c r="O3200" s="5"/>
      <c r="P3200" s="5"/>
      <c r="Q3200" s="5"/>
      <c r="R3200" s="5"/>
      <c r="S3200" s="5"/>
      <c r="T3200" s="5"/>
      <c r="U3200" s="5"/>
      <c r="V3200" s="5"/>
      <c r="W3200" s="5"/>
      <c r="X3200" s="5"/>
      <c r="Y3200" s="5"/>
      <c r="Z3200" s="5"/>
    </row>
    <row r="3201" spans="1:26" ht="15.6" x14ac:dyDescent="0.3">
      <c r="A3201" s="19" t="s">
        <v>23</v>
      </c>
      <c r="B3201" s="26" t="s">
        <v>3191</v>
      </c>
      <c r="C3201" s="2" t="str">
        <f ca="1">IFERROR(__xludf.DUMMYFUNCTION("GOOGLETRANSLATE(B3201, ""bn"", ""en"")"),"Attempts are being made to make mosques worthless by rendering Iftar, Jumma and Eid prayers unnecessary—as was the case with the Babri Masjid.")</f>
        <v>Attempts are being made to make mosques worthless by rendering Iftar, Jumma and Eid prayers unnecessary—as was the case with the Babri Masjid.</v>
      </c>
      <c r="D3201" s="7"/>
      <c r="E3201" s="7"/>
      <c r="F3201" s="7"/>
      <c r="G3201" s="7"/>
      <c r="H3201" s="7"/>
      <c r="I3201" s="7"/>
      <c r="J3201" s="7"/>
      <c r="K3201" s="5"/>
      <c r="L3201" s="5"/>
      <c r="M3201" s="5"/>
      <c r="N3201" s="5"/>
      <c r="O3201" s="5"/>
      <c r="P3201" s="5"/>
      <c r="Q3201" s="5"/>
      <c r="R3201" s="5"/>
      <c r="S3201" s="5"/>
      <c r="T3201" s="5"/>
      <c r="U3201" s="5"/>
      <c r="V3201" s="5"/>
      <c r="W3201" s="5"/>
      <c r="X3201" s="5"/>
      <c r="Y3201" s="5"/>
      <c r="Z3201" s="5"/>
    </row>
    <row r="3202" spans="1:26" ht="15.6" x14ac:dyDescent="0.3">
      <c r="A3202" s="19" t="s">
        <v>23</v>
      </c>
      <c r="B3202" s="26" t="s">
        <v>3192</v>
      </c>
      <c r="C3202" s="2" t="str">
        <f ca="1">IFERROR(__xludf.DUMMYFUNCTION("GOOGLETRANSLATE(B3202, ""bn"", ""en"")"),"As a Muslim I strongly condemn and protest. O Allah, judge these oppressors.")</f>
        <v>As a Muslim I strongly condemn and protest. O Allah, judge these oppressors.</v>
      </c>
      <c r="D3202" s="5"/>
      <c r="E3202" s="5"/>
      <c r="F3202" s="5"/>
      <c r="G3202" s="5"/>
      <c r="H3202" s="5"/>
      <c r="I3202" s="5"/>
      <c r="J3202" s="5"/>
      <c r="K3202" s="5"/>
      <c r="L3202" s="5"/>
      <c r="M3202" s="5"/>
      <c r="N3202" s="5"/>
      <c r="O3202" s="5"/>
      <c r="P3202" s="5"/>
      <c r="Q3202" s="5"/>
      <c r="R3202" s="5"/>
      <c r="S3202" s="5"/>
      <c r="T3202" s="5"/>
      <c r="U3202" s="5"/>
      <c r="V3202" s="5"/>
      <c r="W3202" s="5"/>
      <c r="X3202" s="5"/>
      <c r="Y3202" s="5"/>
      <c r="Z3202" s="5"/>
    </row>
    <row r="3203" spans="1:26" ht="15.6" x14ac:dyDescent="0.3">
      <c r="A3203" s="18" t="s">
        <v>5</v>
      </c>
      <c r="B3203" s="24" t="s">
        <v>3193</v>
      </c>
      <c r="C3203" s="2" t="str">
        <f ca="1">IFERROR(__xludf.DUMMYFUNCTION("GOOGLETRANSLATE(B3203, ""bn"", ""en"")"),"A woman fired from her job because of her religion, later commits suicide under the pressure of poverty; 10 people committed suicide due to unsympathetic behavior.")</f>
        <v>A woman fired from her job because of her religion, later commits suicide under the pressure of poverty; 10 people committed suicide due to unsympathetic behavior.</v>
      </c>
      <c r="D3203" s="5"/>
      <c r="E3203" s="5"/>
      <c r="F3203" s="5"/>
      <c r="G3203" s="5"/>
      <c r="H3203" s="5"/>
      <c r="I3203" s="5"/>
      <c r="J3203" s="5"/>
      <c r="K3203" s="5"/>
      <c r="L3203" s="5"/>
      <c r="M3203" s="5"/>
      <c r="N3203" s="5"/>
      <c r="O3203" s="5"/>
      <c r="P3203" s="5"/>
      <c r="Q3203" s="5"/>
      <c r="R3203" s="5"/>
      <c r="S3203" s="5"/>
      <c r="T3203" s="5"/>
      <c r="U3203" s="5"/>
      <c r="V3203" s="5"/>
      <c r="W3203" s="5"/>
      <c r="X3203" s="5"/>
      <c r="Y3203" s="5"/>
      <c r="Z3203" s="5"/>
    </row>
    <row r="3204" spans="1:26" ht="15.6" x14ac:dyDescent="0.3">
      <c r="A3204" s="18" t="s">
        <v>3</v>
      </c>
      <c r="B3204" s="25" t="s">
        <v>3194</v>
      </c>
      <c r="C3204" s="2" t="str">
        <f ca="1">IFERROR(__xludf.DUMMYFUNCTION("GOOGLETRANSLATE(B3204, ""bn"", ""en"")"),"Muslims walk counter-clockwise seven times around the Qibla for prayer, walk briskly seven times between the hills of Safa and Marwa, then drink water from the well of Zamzam.")</f>
        <v>Muslims walk counter-clockwise seven times around the Qibla for prayer, walk briskly seven times between the hills of Safa and Marwa, then drink water from the well of Zamzam.</v>
      </c>
      <c r="D3204" s="2"/>
      <c r="E3204" s="2"/>
      <c r="F3204" s="2"/>
      <c r="G3204" s="2"/>
      <c r="H3204" s="3"/>
      <c r="I3204" s="3"/>
      <c r="J3204" s="3"/>
      <c r="K3204" s="3"/>
      <c r="L3204" s="3"/>
      <c r="M3204" s="3"/>
      <c r="N3204" s="3"/>
      <c r="O3204" s="3"/>
      <c r="P3204" s="3"/>
      <c r="Q3204" s="3"/>
      <c r="R3204" s="3"/>
      <c r="S3204" s="3"/>
      <c r="T3204" s="3"/>
      <c r="U3204" s="3"/>
      <c r="V3204" s="3"/>
      <c r="W3204" s="3"/>
      <c r="X3204" s="3"/>
      <c r="Y3204" s="3"/>
      <c r="Z3204" s="3"/>
    </row>
    <row r="3205" spans="1:26" ht="15.6" x14ac:dyDescent="0.3">
      <c r="A3205" s="18" t="s">
        <v>23</v>
      </c>
      <c r="B3205" s="25" t="s">
        <v>3195</v>
      </c>
      <c r="C3205" s="2" t="str">
        <f ca="1">IFERROR(__xludf.DUMMYFUNCTION("GOOGLETRANSLATE(B3205, ""bn"", ""en"")"),"Removal of social media accused of baseless posts with extremist views on the holy religion of Islam.")</f>
        <v>Removal of social media accused of baseless posts with extremist views on the holy religion of Islam.</v>
      </c>
      <c r="D3205" s="5"/>
      <c r="E3205" s="5"/>
      <c r="F3205" s="5"/>
      <c r="G3205" s="5"/>
      <c r="H3205" s="5"/>
      <c r="I3205" s="5"/>
      <c r="J3205" s="5"/>
      <c r="K3205" s="5"/>
      <c r="L3205" s="5"/>
      <c r="M3205" s="5"/>
      <c r="N3205" s="5"/>
      <c r="O3205" s="5"/>
      <c r="P3205" s="5"/>
      <c r="Q3205" s="5"/>
      <c r="R3205" s="5"/>
      <c r="S3205" s="5"/>
      <c r="T3205" s="5"/>
      <c r="U3205" s="5"/>
      <c r="V3205" s="5"/>
      <c r="W3205" s="5"/>
      <c r="X3205" s="5"/>
      <c r="Y3205" s="5"/>
      <c r="Z3205" s="5"/>
    </row>
    <row r="3206" spans="1:26" ht="15.6" x14ac:dyDescent="0.3">
      <c r="A3206" s="18" t="s">
        <v>5</v>
      </c>
      <c r="B3206" s="24" t="s">
        <v>3196</v>
      </c>
      <c r="C3206" s="2" t="str">
        <f ca="1">IFERROR(__xludf.DUMMYFUNCTION("GOOGLETRANSLATE(B3206, ""bn"", ""en"")"),"A doctor was beaten to death on religious grounds, 13 people were injured.")</f>
        <v>A doctor was beaten to death on religious grounds, 13 people were injured.</v>
      </c>
      <c r="D3206" s="5"/>
      <c r="E3206" s="5"/>
      <c r="F3206" s="5"/>
      <c r="G3206" s="5"/>
      <c r="H3206" s="5"/>
      <c r="I3206" s="5"/>
      <c r="J3206" s="5"/>
      <c r="K3206" s="5"/>
      <c r="L3206" s="5"/>
      <c r="M3206" s="5"/>
      <c r="N3206" s="5"/>
      <c r="O3206" s="5"/>
      <c r="P3206" s="5"/>
      <c r="Q3206" s="5"/>
      <c r="R3206" s="5"/>
      <c r="S3206" s="5"/>
      <c r="T3206" s="5"/>
      <c r="U3206" s="5"/>
      <c r="V3206" s="5"/>
      <c r="W3206" s="5"/>
      <c r="X3206" s="5"/>
      <c r="Y3206" s="5"/>
      <c r="Z3206" s="5"/>
    </row>
    <row r="3207" spans="1:26" ht="15.6" x14ac:dyDescent="0.3">
      <c r="A3207" s="18" t="s">
        <v>23</v>
      </c>
      <c r="B3207" s="24" t="s">
        <v>3197</v>
      </c>
      <c r="C3207" s="2" t="str">
        <f ca="1">IFERROR(__xludf.DUMMYFUNCTION("GOOGLETRANSLATE(B3207, ""bn"", ""en"")"),"Hindu festival means noise pollution and road closure, government should ban these.")</f>
        <v>Hindu festival means noise pollution and road closure, government should ban these.</v>
      </c>
      <c r="D3207" s="5"/>
      <c r="E3207" s="5"/>
      <c r="F3207" s="5"/>
      <c r="G3207" s="5"/>
      <c r="H3207" s="5"/>
      <c r="I3207" s="5"/>
      <c r="J3207" s="5"/>
      <c r="K3207" s="5"/>
      <c r="L3207" s="5"/>
      <c r="M3207" s="5"/>
      <c r="N3207" s="5"/>
      <c r="O3207" s="5"/>
      <c r="P3207" s="5"/>
      <c r="Q3207" s="5"/>
      <c r="R3207" s="5"/>
      <c r="S3207" s="5"/>
      <c r="T3207" s="5"/>
      <c r="U3207" s="5"/>
      <c r="V3207" s="5"/>
      <c r="W3207" s="5"/>
      <c r="X3207" s="5"/>
      <c r="Y3207" s="5"/>
      <c r="Z3207" s="5"/>
    </row>
    <row r="3208" spans="1:26" ht="15.6" x14ac:dyDescent="0.3">
      <c r="A3208" s="18" t="s">
        <v>23</v>
      </c>
      <c r="B3208" s="24" t="s">
        <v>1666</v>
      </c>
      <c r="C3208" s="2" t="str">
        <f ca="1">IFERROR(__xludf.DUMMYFUNCTION("GOOGLETRANSLATE(B3208, ""bn"", ""en"")"),"Some sections of the Hindu community are spreading religious extremism and creating communal unrest in the country.")</f>
        <v>Some sections of the Hindu community are spreading religious extremism and creating communal unrest in the country.</v>
      </c>
      <c r="D3208" s="5"/>
      <c r="E3208" s="5"/>
      <c r="F3208" s="5"/>
      <c r="G3208" s="5"/>
      <c r="H3208" s="5"/>
      <c r="I3208" s="5"/>
      <c r="J3208" s="5"/>
      <c r="K3208" s="5"/>
      <c r="L3208" s="5"/>
      <c r="M3208" s="5"/>
      <c r="N3208" s="5"/>
      <c r="O3208" s="5"/>
      <c r="P3208" s="5"/>
      <c r="Q3208" s="5"/>
      <c r="R3208" s="5"/>
      <c r="S3208" s="5"/>
      <c r="T3208" s="5"/>
      <c r="U3208" s="5"/>
      <c r="V3208" s="5"/>
      <c r="W3208" s="5"/>
      <c r="X3208" s="5"/>
      <c r="Y3208" s="5"/>
      <c r="Z3208" s="5"/>
    </row>
    <row r="3209" spans="1:26" ht="15.6" x14ac:dyDescent="0.3">
      <c r="A3209" s="18" t="s">
        <v>23</v>
      </c>
      <c r="B3209" s="24" t="s">
        <v>3198</v>
      </c>
      <c r="C3209" s="2" t="str">
        <f ca="1">IFERROR(__xludf.DUMMYFUNCTION("GOOGLETRANSLATE(B3209, ""bn"", ""en"")"),"Muslim extremists consider their religion superior to other religions and look down on other religions.")</f>
        <v>Muslim extremists consider their religion superior to other religions and look down on other religions.</v>
      </c>
      <c r="D3209" s="5"/>
      <c r="E3209" s="5"/>
      <c r="F3209" s="5"/>
      <c r="G3209" s="5"/>
      <c r="H3209" s="5"/>
      <c r="I3209" s="5"/>
      <c r="J3209" s="5"/>
      <c r="K3209" s="5"/>
      <c r="L3209" s="5"/>
      <c r="M3209" s="5"/>
      <c r="N3209" s="5"/>
      <c r="O3209" s="5"/>
      <c r="P3209" s="5"/>
      <c r="Q3209" s="5"/>
      <c r="R3209" s="5"/>
      <c r="S3209" s="5"/>
      <c r="T3209" s="5"/>
      <c r="U3209" s="5"/>
      <c r="V3209" s="5"/>
      <c r="W3209" s="5"/>
      <c r="X3209" s="5"/>
      <c r="Y3209" s="5"/>
      <c r="Z3209" s="5"/>
    </row>
    <row r="3210" spans="1:26" ht="15.6" x14ac:dyDescent="0.3">
      <c r="A3210" s="18" t="s">
        <v>5</v>
      </c>
      <c r="B3210" s="24" t="s">
        <v>3199</v>
      </c>
      <c r="C3210" s="2" t="str">
        <f ca="1">IFERROR(__xludf.DUMMYFUNCTION("GOOGLETRANSLATE(B3210, ""bn"", ""en"")"),"In June 2017, a group of religious groups rioted at the school, killing 21 people.")</f>
        <v>In June 2017, a group of religious groups rioted at the school, killing 21 people.</v>
      </c>
      <c r="D3210" s="5"/>
      <c r="E3210" s="5"/>
      <c r="F3210" s="5"/>
      <c r="G3210" s="5"/>
      <c r="H3210" s="5"/>
      <c r="I3210" s="5"/>
      <c r="J3210" s="5"/>
      <c r="K3210" s="5"/>
      <c r="L3210" s="5"/>
      <c r="M3210" s="5"/>
      <c r="N3210" s="5"/>
      <c r="O3210" s="5"/>
      <c r="P3210" s="5"/>
      <c r="Q3210" s="5"/>
      <c r="R3210" s="5"/>
      <c r="S3210" s="5"/>
      <c r="T3210" s="5"/>
      <c r="U3210" s="5"/>
      <c r="V3210" s="5"/>
      <c r="W3210" s="5"/>
      <c r="X3210" s="5"/>
      <c r="Y3210" s="5"/>
      <c r="Z3210" s="5"/>
    </row>
    <row r="3211" spans="1:26" ht="15.6" x14ac:dyDescent="0.3">
      <c r="A3211" s="18" t="s">
        <v>8</v>
      </c>
      <c r="B3211" s="25" t="s">
        <v>3200</v>
      </c>
      <c r="C3211" s="2" t="str">
        <f ca="1">IFERROR(__xludf.DUMMYFUNCTION("GOOGLETRANSLATE(B3211, ""bn"", ""en"")"),"Protesters stormed an embassy and smashed windows after allegedly hurting religious sentiments, only to be dispersed by police.")</f>
        <v>Protesters stormed an embassy and smashed windows after allegedly hurting religious sentiments, only to be dispersed by police.</v>
      </c>
      <c r="D3211" s="5"/>
      <c r="E3211" s="5"/>
      <c r="F3211" s="5"/>
      <c r="G3211" s="5"/>
      <c r="H3211" s="5"/>
      <c r="I3211" s="5"/>
      <c r="J3211" s="5"/>
      <c r="K3211" s="5"/>
      <c r="L3211" s="5"/>
      <c r="M3211" s="5"/>
      <c r="N3211" s="5"/>
      <c r="O3211" s="5"/>
      <c r="P3211" s="5"/>
      <c r="Q3211" s="5"/>
      <c r="R3211" s="5"/>
      <c r="S3211" s="5"/>
      <c r="T3211" s="5"/>
      <c r="U3211" s="5"/>
      <c r="V3211" s="5"/>
      <c r="W3211" s="5"/>
      <c r="X3211" s="5"/>
      <c r="Y3211" s="5"/>
      <c r="Z3211" s="5"/>
    </row>
    <row r="3212" spans="1:26" ht="15.6" x14ac:dyDescent="0.3">
      <c r="A3212" s="18" t="s">
        <v>8</v>
      </c>
      <c r="B3212" s="24" t="s">
        <v>3201</v>
      </c>
      <c r="C3212" s="2" t="str">
        <f ca="1">IFERROR(__xludf.DUMMYFUNCTION("GOOGLETRANSLATE(B3212, ""bn"", ""en"")"),"Durga Puja idols were vandalized in Chittagong and all the idols were thrown on the ground and broken.")</f>
        <v>Durga Puja idols were vandalized in Chittagong and all the idols were thrown on the ground and broken.</v>
      </c>
      <c r="D3212" s="5"/>
      <c r="E3212" s="5"/>
      <c r="F3212" s="5"/>
      <c r="G3212" s="5"/>
      <c r="H3212" s="5"/>
      <c r="I3212" s="5"/>
      <c r="J3212" s="5"/>
      <c r="K3212" s="5"/>
      <c r="L3212" s="5"/>
      <c r="M3212" s="5"/>
      <c r="N3212" s="5"/>
      <c r="O3212" s="5"/>
      <c r="P3212" s="5"/>
      <c r="Q3212" s="5"/>
      <c r="R3212" s="5"/>
      <c r="S3212" s="5"/>
      <c r="T3212" s="5"/>
      <c r="U3212" s="5"/>
      <c r="V3212" s="5"/>
      <c r="W3212" s="5"/>
      <c r="X3212" s="5"/>
      <c r="Y3212" s="5"/>
      <c r="Z3212" s="5"/>
    </row>
    <row r="3213" spans="1:26" ht="15.6" x14ac:dyDescent="0.3">
      <c r="A3213" s="18" t="s">
        <v>3</v>
      </c>
      <c r="B3213" s="25" t="s">
        <v>3202</v>
      </c>
      <c r="C3213" s="2" t="str">
        <f ca="1">IFERROR(__xludf.DUMMYFUNCTION("GOOGLETRANSLATE(B3213, ""bn"", ""en"")"),"O Allah, have mercy on the helpless people and relieve their suffering.")</f>
        <v>O Allah, have mercy on the helpless people and relieve their suffering.</v>
      </c>
      <c r="D3213" s="5"/>
      <c r="E3213" s="5"/>
      <c r="F3213" s="5"/>
      <c r="G3213" s="5"/>
      <c r="H3213" s="5"/>
      <c r="I3213" s="5"/>
      <c r="J3213" s="5"/>
      <c r="K3213" s="5"/>
      <c r="L3213" s="5"/>
      <c r="M3213" s="5"/>
      <c r="N3213" s="5"/>
      <c r="O3213" s="5"/>
      <c r="P3213" s="5"/>
      <c r="Q3213" s="5"/>
      <c r="R3213" s="5"/>
      <c r="S3213" s="5"/>
      <c r="T3213" s="5"/>
      <c r="U3213" s="5"/>
      <c r="V3213" s="5"/>
      <c r="W3213" s="5"/>
      <c r="X3213" s="5"/>
      <c r="Y3213" s="5"/>
      <c r="Z3213" s="5"/>
    </row>
    <row r="3214" spans="1:26" ht="15.6" x14ac:dyDescent="0.3">
      <c r="A3214" s="18" t="s">
        <v>8</v>
      </c>
      <c r="B3214" s="25" t="s">
        <v>3203</v>
      </c>
      <c r="C3214" s="2" t="str">
        <f ca="1">IFERROR(__xludf.DUMMYFUNCTION("GOOGLETRANSLATE(B3214, ""bn"", ""en"")"),"From March 10, Muslims led by members of the government's Ansar forces began terrorizing Hindus. In Jhenaidah sub-division Hindus were evicted from their houses and all those houses were occupied by Muslims.")</f>
        <v>From March 10, Muslims led by members of the government's Ansar forces began terrorizing Hindus. In Jhenaidah sub-division Hindus were evicted from their houses and all those houses were occupied by Muslims.</v>
      </c>
      <c r="D3214" s="7"/>
      <c r="E3214" s="7"/>
      <c r="F3214" s="7"/>
      <c r="G3214" s="7"/>
      <c r="H3214" s="7"/>
      <c r="I3214" s="7"/>
      <c r="J3214" s="7"/>
      <c r="K3214" s="5"/>
      <c r="L3214" s="5"/>
      <c r="M3214" s="5"/>
      <c r="N3214" s="5"/>
      <c r="O3214" s="5"/>
      <c r="P3214" s="5"/>
      <c r="Q3214" s="5"/>
      <c r="R3214" s="5"/>
      <c r="S3214" s="5"/>
      <c r="T3214" s="5"/>
      <c r="U3214" s="5"/>
      <c r="V3214" s="5"/>
      <c r="W3214" s="5"/>
      <c r="X3214" s="5"/>
      <c r="Y3214" s="5"/>
      <c r="Z3214" s="5"/>
    </row>
    <row r="3215" spans="1:26" ht="15.6" x14ac:dyDescent="0.3">
      <c r="A3215" s="18" t="s">
        <v>8</v>
      </c>
      <c r="B3215" s="25" t="s">
        <v>3204</v>
      </c>
      <c r="C3215" s="2" t="str">
        <f ca="1">IFERROR(__xludf.DUMMYFUNCTION("GOOGLETRANSLATE(B3215, ""bn"", ""en"")"),"Muslim and Hindu communities have lived in a delicate balance in South Asia since the end of Muslim rule. Violent clashes have often been seen")</f>
        <v>Muslim and Hindu communities have lived in a delicate balance in South Asia since the end of Muslim rule. Violent clashes have often been seen</v>
      </c>
      <c r="D3215" s="2"/>
      <c r="E3215" s="2"/>
      <c r="F3215" s="2"/>
      <c r="G3215" s="2"/>
      <c r="H3215" s="3"/>
      <c r="I3215" s="3"/>
      <c r="J3215" s="3"/>
      <c r="K3215" s="3"/>
      <c r="L3215" s="3"/>
      <c r="M3215" s="3"/>
      <c r="N3215" s="3"/>
      <c r="O3215" s="3"/>
      <c r="P3215" s="3"/>
      <c r="Q3215" s="3"/>
      <c r="R3215" s="3"/>
      <c r="S3215" s="3"/>
      <c r="T3215" s="3"/>
      <c r="U3215" s="3"/>
      <c r="V3215" s="3"/>
      <c r="W3215" s="3"/>
      <c r="X3215" s="3"/>
      <c r="Y3215" s="3"/>
      <c r="Z3215" s="3"/>
    </row>
    <row r="3216" spans="1:26" ht="15.6" x14ac:dyDescent="0.3">
      <c r="A3216" s="18" t="s">
        <v>5</v>
      </c>
      <c r="B3216" s="24" t="s">
        <v>3205</v>
      </c>
      <c r="C3216" s="2" t="str">
        <f ca="1">IFERROR(__xludf.DUMMYFUNCTION("GOOGLETRANSLATE(B3216, ""bn"", ""en"")"),"In June 2017, 28 people were killed in clashes between a group of religious groups; Many people were injured.")</f>
        <v>In June 2017, 28 people were killed in clashes between a group of religious groups; Many people were injured.</v>
      </c>
      <c r="D3216" s="5"/>
      <c r="E3216" s="5"/>
      <c r="F3216" s="5"/>
      <c r="G3216" s="5"/>
      <c r="H3216" s="5"/>
      <c r="I3216" s="5"/>
      <c r="J3216" s="5"/>
      <c r="K3216" s="5"/>
      <c r="L3216" s="5"/>
      <c r="M3216" s="5"/>
      <c r="N3216" s="5"/>
      <c r="O3216" s="5"/>
      <c r="P3216" s="5"/>
      <c r="Q3216" s="5"/>
      <c r="R3216" s="5"/>
      <c r="S3216" s="5"/>
      <c r="T3216" s="5"/>
      <c r="U3216" s="5"/>
      <c r="V3216" s="5"/>
      <c r="W3216" s="5"/>
      <c r="X3216" s="5"/>
      <c r="Y3216" s="5"/>
      <c r="Z3216" s="5"/>
    </row>
    <row r="3217" spans="1:26" ht="15.6" x14ac:dyDescent="0.3">
      <c r="A3217" s="18" t="s">
        <v>5</v>
      </c>
      <c r="B3217" s="24" t="s">
        <v>3206</v>
      </c>
      <c r="C3217" s="2" t="str">
        <f ca="1">IFERROR(__xludf.DUMMYFUNCTION("GOOGLETRANSLATE(B3217, ""bn"", ""en"")"),"In September 2018, a youth was killed trying to save his sister from apostasy, while 12 others lost their lives in the incident.")</f>
        <v>In September 2018, a youth was killed trying to save his sister from apostasy, while 12 others lost their lives in the incident.</v>
      </c>
      <c r="D3217" s="5"/>
      <c r="E3217" s="5"/>
      <c r="F3217" s="5"/>
      <c r="G3217" s="5"/>
      <c r="H3217" s="5"/>
      <c r="I3217" s="5"/>
      <c r="J3217" s="5"/>
      <c r="K3217" s="5"/>
      <c r="L3217" s="5"/>
      <c r="M3217" s="5"/>
      <c r="N3217" s="5"/>
      <c r="O3217" s="5"/>
      <c r="P3217" s="5"/>
      <c r="Q3217" s="5"/>
      <c r="R3217" s="5"/>
      <c r="S3217" s="5"/>
      <c r="T3217" s="5"/>
      <c r="U3217" s="5"/>
      <c r="V3217" s="5"/>
      <c r="W3217" s="5"/>
      <c r="X3217" s="5"/>
      <c r="Y3217" s="5"/>
      <c r="Z3217" s="5"/>
    </row>
    <row r="3218" spans="1:26" ht="15.6" x14ac:dyDescent="0.3">
      <c r="A3218" s="18" t="s">
        <v>8</v>
      </c>
      <c r="B3218" s="24" t="s">
        <v>3207</v>
      </c>
      <c r="C3218" s="2" t="str">
        <f ca="1">IFERROR(__xludf.DUMMYFUNCTION("GOOGLETRANSLATE(B3218, ""bn"", ""en"")"),"A group of unidentified persons spread anti-religious leaflets outside a mosque in Jhalkathi and created tension.")</f>
        <v>A group of unidentified persons spread anti-religious leaflets outside a mosque in Jhalkathi and created tension.</v>
      </c>
      <c r="D3218" s="5"/>
      <c r="E3218" s="5"/>
      <c r="F3218" s="5"/>
      <c r="G3218" s="5"/>
      <c r="H3218" s="5"/>
      <c r="I3218" s="5"/>
      <c r="J3218" s="5"/>
      <c r="K3218" s="5"/>
      <c r="L3218" s="5"/>
      <c r="M3218" s="5"/>
      <c r="N3218" s="5"/>
      <c r="O3218" s="5"/>
      <c r="P3218" s="5"/>
      <c r="Q3218" s="5"/>
      <c r="R3218" s="5"/>
      <c r="S3218" s="5"/>
      <c r="T3218" s="5"/>
      <c r="U3218" s="5"/>
      <c r="V3218" s="5"/>
      <c r="W3218" s="5"/>
      <c r="X3218" s="5"/>
      <c r="Y3218" s="5"/>
      <c r="Z3218" s="5"/>
    </row>
    <row r="3219" spans="1:26" ht="15.6" x14ac:dyDescent="0.3">
      <c r="A3219" s="18" t="s">
        <v>23</v>
      </c>
      <c r="B3219" s="24" t="s">
        <v>3208</v>
      </c>
      <c r="C3219" s="2" t="str">
        <f ca="1">IFERROR(__xludf.DUMMYFUNCTION("GOOGLETRANSLATE(B3219, ""bn"", ""en"")"),"Those who believe in Quran can never be peaceful.")</f>
        <v>Those who believe in Quran can never be peaceful.</v>
      </c>
      <c r="D3219" s="5"/>
      <c r="E3219" s="5"/>
      <c r="F3219" s="5"/>
      <c r="G3219" s="5"/>
      <c r="H3219" s="5"/>
      <c r="I3219" s="5"/>
      <c r="J3219" s="5"/>
      <c r="K3219" s="5"/>
      <c r="L3219" s="5"/>
      <c r="M3219" s="5"/>
      <c r="N3219" s="5"/>
      <c r="O3219" s="5"/>
      <c r="P3219" s="5"/>
      <c r="Q3219" s="5"/>
      <c r="R3219" s="5"/>
      <c r="S3219" s="5"/>
      <c r="T3219" s="5"/>
      <c r="U3219" s="5"/>
      <c r="V3219" s="5"/>
      <c r="W3219" s="5"/>
      <c r="X3219" s="5"/>
      <c r="Y3219" s="5"/>
      <c r="Z3219" s="5"/>
    </row>
    <row r="3220" spans="1:26" ht="15.6" x14ac:dyDescent="0.3">
      <c r="A3220" s="18" t="s">
        <v>5</v>
      </c>
      <c r="B3220" s="24" t="s">
        <v>3209</v>
      </c>
      <c r="C3220" s="2" t="str">
        <f ca="1">IFERROR(__xludf.DUMMYFUNCTION("GOOGLETRANSLATE(B3220, ""bn"", ""en"")"),"Hindus and Muslims clashed in Kurigram, starting with a religious dispute. 34 people were killed and scores injured in the clashes.")</f>
        <v>Hindus and Muslims clashed in Kurigram, starting with a religious dispute. 34 people were killed and scores injured in the clashes.</v>
      </c>
      <c r="D3220" s="5"/>
      <c r="E3220" s="5"/>
      <c r="F3220" s="5"/>
      <c r="G3220" s="5"/>
      <c r="H3220" s="5"/>
      <c r="I3220" s="5"/>
      <c r="J3220" s="5"/>
      <c r="K3220" s="5"/>
      <c r="L3220" s="5"/>
      <c r="M3220" s="5"/>
      <c r="N3220" s="5"/>
      <c r="O3220" s="5"/>
      <c r="P3220" s="5"/>
      <c r="Q3220" s="5"/>
      <c r="R3220" s="5"/>
      <c r="S3220" s="5"/>
      <c r="T3220" s="5"/>
      <c r="U3220" s="5"/>
      <c r="V3220" s="5"/>
      <c r="W3220" s="5"/>
      <c r="X3220" s="5"/>
      <c r="Y3220" s="5"/>
      <c r="Z3220" s="5"/>
    </row>
    <row r="3221" spans="1:26" ht="15.6" x14ac:dyDescent="0.3">
      <c r="A3221" s="18" t="s">
        <v>23</v>
      </c>
      <c r="B3221" s="25" t="s">
        <v>3210</v>
      </c>
      <c r="C3221" s="2" t="str">
        <f ca="1">IFERROR(__xludf.DUMMYFUNCTION("GOOGLETRANSLATE(B3221, ""bn"", ""en"")"),"In the greedy eyes of fanatics, our beloved country is now! Narrow-minded fanatics may want a minority-free Bangladesh!")</f>
        <v>In the greedy eyes of fanatics, our beloved country is now! Narrow-minded fanatics may want a minority-free Bangladesh!</v>
      </c>
      <c r="D3221" s="5"/>
      <c r="E3221" s="5"/>
      <c r="F3221" s="5"/>
      <c r="G3221" s="5"/>
      <c r="H3221" s="5"/>
      <c r="I3221" s="5"/>
      <c r="J3221" s="5"/>
      <c r="K3221" s="5"/>
      <c r="L3221" s="5"/>
      <c r="M3221" s="5"/>
      <c r="N3221" s="5"/>
      <c r="O3221" s="5"/>
      <c r="P3221" s="5"/>
      <c r="Q3221" s="5"/>
      <c r="R3221" s="5"/>
      <c r="S3221" s="5"/>
      <c r="T3221" s="5"/>
      <c r="U3221" s="5"/>
      <c r="V3221" s="5"/>
      <c r="W3221" s="5"/>
      <c r="X3221" s="5"/>
      <c r="Y3221" s="5"/>
      <c r="Z3221" s="5"/>
    </row>
    <row r="3222" spans="1:26" ht="15.6" x14ac:dyDescent="0.3">
      <c r="A3222" s="18" t="s">
        <v>5</v>
      </c>
      <c r="B3222" s="24" t="s">
        <v>3211</v>
      </c>
      <c r="C3222" s="2" t="str">
        <f ca="1">IFERROR(__xludf.DUMMYFUNCTION("GOOGLETRANSLATE(B3222, ""bn"", ""en"")"),"In January 2020, a religious group committed violence against minorities, killing 26; Burn their houses.")</f>
        <v>In January 2020, a religious group committed violence against minorities, killing 26; Burn their houses.</v>
      </c>
      <c r="D3222" s="5"/>
      <c r="E3222" s="5"/>
      <c r="F3222" s="5"/>
      <c r="G3222" s="5"/>
      <c r="H3222" s="5"/>
      <c r="I3222" s="5"/>
      <c r="J3222" s="5"/>
      <c r="K3222" s="5"/>
      <c r="L3222" s="5"/>
      <c r="M3222" s="5"/>
      <c r="N3222" s="5"/>
      <c r="O3222" s="5"/>
      <c r="P3222" s="5"/>
      <c r="Q3222" s="5"/>
      <c r="R3222" s="5"/>
      <c r="S3222" s="5"/>
      <c r="T3222" s="5"/>
      <c r="U3222" s="5"/>
      <c r="V3222" s="5"/>
      <c r="W3222" s="5"/>
      <c r="X3222" s="5"/>
      <c r="Y3222" s="5"/>
      <c r="Z3222" s="5"/>
    </row>
    <row r="3223" spans="1:26" ht="15.6" x14ac:dyDescent="0.3">
      <c r="A3223" s="18" t="s">
        <v>3</v>
      </c>
      <c r="B3223" s="25" t="s">
        <v>3212</v>
      </c>
      <c r="C3223" s="2" t="str">
        <f ca="1">IFERROR(__xludf.DUMMYFUNCTION("GOOGLETRANSLATE(B3223, ""bn"", ""en"")"),"Two worshipers came to the mosque on a motorcycle to offer Asr prayers. There were minor misunderstandings after the prayers, but by the grace of Allah, everyone was able to reach a solution calmly.")</f>
        <v>Two worshipers came to the mosque on a motorcycle to offer Asr prayers. There were minor misunderstandings after the prayers, but by the grace of Allah, everyone was able to reach a solution calmly.</v>
      </c>
      <c r="D3223" s="5"/>
      <c r="E3223" s="5"/>
      <c r="F3223" s="5"/>
      <c r="G3223" s="5"/>
      <c r="H3223" s="5"/>
      <c r="I3223" s="5"/>
      <c r="J3223" s="5"/>
      <c r="K3223" s="5"/>
      <c r="L3223" s="5"/>
      <c r="M3223" s="5"/>
      <c r="N3223" s="5"/>
      <c r="O3223" s="5"/>
      <c r="P3223" s="5"/>
      <c r="Q3223" s="5"/>
      <c r="R3223" s="5"/>
      <c r="S3223" s="5"/>
      <c r="T3223" s="5"/>
      <c r="U3223" s="5"/>
      <c r="V3223" s="5"/>
      <c r="W3223" s="5"/>
      <c r="X3223" s="5"/>
      <c r="Y3223" s="5"/>
      <c r="Z3223" s="5"/>
    </row>
    <row r="3224" spans="1:26" ht="15.6" x14ac:dyDescent="0.3">
      <c r="A3224" s="19" t="s">
        <v>5</v>
      </c>
      <c r="B3224" s="26" t="s">
        <v>3213</v>
      </c>
      <c r="C3224" s="2" t="str">
        <f ca="1">IFERROR(__xludf.DUMMYFUNCTION("GOOGLETRANSLATE(B3224, ""bn"", ""en"")"),"Gauri Lankesh was a critic of the Hindu right wing. A police official said he was shot twice in the chest and once in the head while opening the door of the house.")</f>
        <v>Gauri Lankesh was a critic of the Hindu right wing. A police official said he was shot twice in the chest and once in the head while opening the door of the house.</v>
      </c>
      <c r="D3224" s="7"/>
      <c r="E3224" s="7"/>
      <c r="F3224" s="7"/>
      <c r="G3224" s="7"/>
      <c r="H3224" s="7"/>
      <c r="I3224" s="7"/>
      <c r="J3224" s="7"/>
      <c r="K3224" s="7"/>
      <c r="L3224" s="7"/>
      <c r="M3224" s="5"/>
      <c r="N3224" s="5"/>
      <c r="O3224" s="5"/>
      <c r="P3224" s="5"/>
      <c r="Q3224" s="5"/>
      <c r="R3224" s="5"/>
      <c r="S3224" s="5"/>
      <c r="T3224" s="5"/>
      <c r="U3224" s="5"/>
      <c r="V3224" s="5"/>
      <c r="W3224" s="5"/>
      <c r="X3224" s="5"/>
      <c r="Y3224" s="5"/>
      <c r="Z3224" s="5"/>
    </row>
    <row r="3225" spans="1:26" ht="15.6" x14ac:dyDescent="0.3">
      <c r="A3225" s="18" t="s">
        <v>8</v>
      </c>
      <c r="B3225" s="25" t="s">
        <v>3214</v>
      </c>
      <c r="C3225" s="2" t="str">
        <f ca="1">IFERROR(__xludf.DUMMYFUNCTION("GOOGLETRANSLATE(B3225, ""bn"", ""en"")"),"Threats to vandalize and blow up Thakurgaon temple, obstruction of Raspuja on the pretext")</f>
        <v>Threats to vandalize and blow up Thakurgaon temple, obstruction of Raspuja on the pretext</v>
      </c>
      <c r="D3225" s="2"/>
      <c r="E3225" s="2"/>
      <c r="F3225" s="2"/>
      <c r="G3225" s="2"/>
      <c r="H3225" s="5"/>
      <c r="I3225" s="5"/>
      <c r="J3225" s="5"/>
      <c r="K3225" s="5"/>
      <c r="L3225" s="5"/>
      <c r="M3225" s="5"/>
      <c r="N3225" s="5"/>
      <c r="O3225" s="5"/>
      <c r="P3225" s="5"/>
      <c r="Q3225" s="5"/>
      <c r="R3225" s="5"/>
      <c r="S3225" s="5"/>
      <c r="T3225" s="5"/>
      <c r="U3225" s="5"/>
      <c r="V3225" s="5"/>
      <c r="W3225" s="5"/>
      <c r="X3225" s="5"/>
      <c r="Y3225" s="5"/>
      <c r="Z3225" s="5"/>
    </row>
    <row r="3226" spans="1:26" ht="15.6" x14ac:dyDescent="0.3">
      <c r="A3226" s="18" t="s">
        <v>8</v>
      </c>
      <c r="B3226" s="25" t="s">
        <v>3215</v>
      </c>
      <c r="C3226" s="2" t="str">
        <f ca="1">IFERROR(__xludf.DUMMYFUNCTION("GOOGLETRANSLATE(B3226, ""bn"", ""en"")"),"On January 5, Hindu communities in Satkania Upazila and Banashkhali Upazila of Chittagong Division were attacked. Jamaat Islam and Bangladesh Islami Chhatra Shibir cadres set fire to at least 150 Hindu houses.")</f>
        <v>On January 5, Hindu communities in Satkania Upazila and Banashkhali Upazila of Chittagong Division were attacked. Jamaat Islam and Bangladesh Islami Chhatra Shibir cadres set fire to at least 150 Hindu houses.</v>
      </c>
      <c r="D3226" s="6"/>
      <c r="E3226" s="6"/>
      <c r="F3226" s="6"/>
      <c r="G3226" s="6"/>
      <c r="H3226" s="3"/>
      <c r="I3226" s="3"/>
      <c r="J3226" s="3"/>
      <c r="K3226" s="3"/>
      <c r="L3226" s="3"/>
      <c r="M3226" s="3"/>
      <c r="N3226" s="3"/>
      <c r="O3226" s="3"/>
      <c r="P3226" s="3"/>
      <c r="Q3226" s="3"/>
      <c r="R3226" s="3"/>
      <c r="S3226" s="3"/>
      <c r="T3226" s="3"/>
      <c r="U3226" s="3"/>
      <c r="V3226" s="3"/>
      <c r="W3226" s="3"/>
      <c r="X3226" s="3"/>
      <c r="Y3226" s="3"/>
      <c r="Z3226" s="3"/>
    </row>
    <row r="3227" spans="1:26" ht="15.6" x14ac:dyDescent="0.3">
      <c r="A3227" s="18" t="s">
        <v>5</v>
      </c>
      <c r="B3227" s="24" t="s">
        <v>3216</v>
      </c>
      <c r="C3227" s="2" t="str">
        <f ca="1">IFERROR(__xludf.DUMMYFUNCTION("GOOGLETRANSLATE(B3227, ""bn"", ""en"")"),"42 people lost their lives in religious riots in Jhenaidah. The police tried to control the situation but the violence did not stop. The government called for calm and religious tolerance. Many families seek shelter for safety.")</f>
        <v>42 people lost their lives in religious riots in Jhenaidah. The police tried to control the situation but the violence did not stop. The government called for calm and religious tolerance. Many families seek shelter for safety.</v>
      </c>
      <c r="D3227" s="5"/>
      <c r="E3227" s="5"/>
      <c r="F3227" s="5"/>
      <c r="G3227" s="5"/>
      <c r="H3227" s="5"/>
      <c r="I3227" s="5"/>
      <c r="J3227" s="5"/>
      <c r="K3227" s="5"/>
      <c r="L3227" s="5"/>
      <c r="M3227" s="5"/>
      <c r="N3227" s="5"/>
      <c r="O3227" s="5"/>
      <c r="P3227" s="5"/>
      <c r="Q3227" s="5"/>
      <c r="R3227" s="5"/>
      <c r="S3227" s="5"/>
      <c r="T3227" s="5"/>
      <c r="U3227" s="5"/>
      <c r="V3227" s="5"/>
      <c r="W3227" s="5"/>
      <c r="X3227" s="5"/>
      <c r="Y3227" s="5"/>
      <c r="Z3227" s="5"/>
    </row>
    <row r="3228" spans="1:26" ht="15.6" x14ac:dyDescent="0.3">
      <c r="A3228" s="19" t="s">
        <v>8</v>
      </c>
      <c r="B3228" s="26" t="s">
        <v>3217</v>
      </c>
      <c r="C3228" s="2" t="str">
        <f ca="1">IFERROR(__xludf.DUMMYFUNCTION("GOOGLETRANSLATE(B3228, ""bn"", ""en"")"),"In 2016, a Christian place of worship in Bangladesh was attacked, windows and doors were broken and several religious people were injured.")</f>
        <v>In 2016, a Christian place of worship in Bangladesh was attacked, windows and doors were broken and several religious people were injured.</v>
      </c>
      <c r="D3228" s="7"/>
      <c r="E3228" s="7"/>
      <c r="F3228" s="7"/>
      <c r="G3228" s="7"/>
      <c r="H3228" s="7"/>
      <c r="I3228" s="7"/>
      <c r="J3228" s="7"/>
      <c r="K3228" s="5"/>
      <c r="L3228" s="5"/>
      <c r="M3228" s="5"/>
      <c r="N3228" s="5"/>
      <c r="O3228" s="5"/>
      <c r="P3228" s="5"/>
      <c r="Q3228" s="5"/>
      <c r="R3228" s="5"/>
      <c r="S3228" s="5"/>
      <c r="T3228" s="5"/>
      <c r="U3228" s="5"/>
      <c r="V3228" s="5"/>
      <c r="W3228" s="5"/>
      <c r="X3228" s="5"/>
      <c r="Y3228" s="5"/>
      <c r="Z3228" s="5"/>
    </row>
    <row r="3229" spans="1:26" ht="15.6" x14ac:dyDescent="0.3">
      <c r="A3229" s="18" t="s">
        <v>8</v>
      </c>
      <c r="B3229" s="25" t="s">
        <v>3218</v>
      </c>
      <c r="C3229" s="2" t="str">
        <f ca="1">IFERROR(__xludf.DUMMYFUNCTION("GOOGLETRANSLATE(B3229, ""bn"", ""en"")"),"In Bangladesh again there were complaints of vandalizing the idols of Hindu gods. Miscreants vandalized the idols under construction in the public Kali and Durga temple in Tambulkhana market of Faridpur upazila of Bangladesh on Monday night.")</f>
        <v>In Bangladesh again there were complaints of vandalizing the idols of Hindu gods. Miscreants vandalized the idols under construction in the public Kali and Durga temple in Tambulkhana market of Faridpur upazila of Bangladesh on Monday night.</v>
      </c>
      <c r="D3229" s="5"/>
      <c r="E3229" s="5"/>
      <c r="F3229" s="5"/>
      <c r="G3229" s="5"/>
      <c r="H3229" s="5"/>
      <c r="I3229" s="5"/>
      <c r="J3229" s="5"/>
      <c r="K3229" s="5"/>
      <c r="L3229" s="5"/>
      <c r="M3229" s="5"/>
      <c r="N3229" s="5"/>
      <c r="O3229" s="5"/>
      <c r="P3229" s="5"/>
      <c r="Q3229" s="5"/>
      <c r="R3229" s="5"/>
      <c r="S3229" s="5"/>
      <c r="T3229" s="5"/>
      <c r="U3229" s="5"/>
      <c r="V3229" s="5"/>
      <c r="W3229" s="5"/>
      <c r="X3229" s="5"/>
      <c r="Y3229" s="5"/>
      <c r="Z3229" s="5"/>
    </row>
    <row r="3230" spans="1:26" ht="15.6" x14ac:dyDescent="0.3">
      <c r="A3230" s="19" t="s">
        <v>3</v>
      </c>
      <c r="B3230" s="26" t="s">
        <v>3219</v>
      </c>
      <c r="C3230" s="2" t="str">
        <f ca="1">IFERROR(__xludf.DUMMYFUNCTION("GOOGLETRANSLATE(B3230, ""bn"", ""en"")"),"While pleasing Allah through worship is desirable, depression is not acceptable to any believer, as it takes away from the joy of life.")</f>
        <v>While pleasing Allah through worship is desirable, depression is not acceptable to any believer, as it takes away from the joy of life.</v>
      </c>
      <c r="D3230" s="7"/>
      <c r="E3230" s="7"/>
      <c r="F3230" s="7"/>
      <c r="G3230" s="7"/>
      <c r="H3230" s="7"/>
      <c r="I3230" s="7"/>
      <c r="J3230" s="5"/>
      <c r="K3230" s="5"/>
      <c r="L3230" s="5"/>
      <c r="M3230" s="5"/>
      <c r="N3230" s="5"/>
      <c r="O3230" s="5"/>
      <c r="P3230" s="5"/>
      <c r="Q3230" s="5"/>
      <c r="R3230" s="5"/>
      <c r="S3230" s="5"/>
      <c r="T3230" s="5"/>
      <c r="U3230" s="5"/>
      <c r="V3230" s="5"/>
      <c r="W3230" s="5"/>
      <c r="X3230" s="5"/>
      <c r="Y3230" s="5"/>
      <c r="Z3230" s="5"/>
    </row>
    <row r="3231" spans="1:26" ht="15.6" x14ac:dyDescent="0.3">
      <c r="A3231" s="18" t="s">
        <v>3</v>
      </c>
      <c r="B3231" s="25" t="s">
        <v>3220</v>
      </c>
      <c r="C3231" s="2" t="str">
        <f ca="1">IFERROR(__xludf.DUMMYFUNCTION("GOOGLETRANSLATE(B3231, ""bn"", ""en"")"),"Even listening to it every day does not satisfy me. My heart got cold after hearing it. I don't know how we will feel when we go to heaven. May Allah accept us all, Ameen.")</f>
        <v>Even listening to it every day does not satisfy me. My heart got cold after hearing it. I don't know how we will feel when we go to heaven. May Allah accept us all, Ameen.</v>
      </c>
      <c r="D3231" s="5"/>
      <c r="E3231" s="5"/>
      <c r="F3231" s="5"/>
      <c r="G3231" s="5"/>
      <c r="H3231" s="5"/>
      <c r="I3231" s="5"/>
      <c r="J3231" s="5"/>
      <c r="K3231" s="5"/>
      <c r="L3231" s="5"/>
      <c r="M3231" s="5"/>
      <c r="N3231" s="5"/>
      <c r="O3231" s="5"/>
      <c r="P3231" s="5"/>
      <c r="Q3231" s="5"/>
      <c r="R3231" s="5"/>
      <c r="S3231" s="5"/>
      <c r="T3231" s="5"/>
      <c r="U3231" s="5"/>
      <c r="V3231" s="5"/>
      <c r="W3231" s="5"/>
      <c r="X3231" s="5"/>
      <c r="Y3231" s="5"/>
      <c r="Z3231" s="5"/>
    </row>
    <row r="3232" spans="1:26" ht="15.6" x14ac:dyDescent="0.3">
      <c r="A3232" s="19" t="s">
        <v>23</v>
      </c>
      <c r="B3232" s="26" t="s">
        <v>3221</v>
      </c>
      <c r="C3232" s="2" t="str">
        <f ca="1">IFERROR(__xludf.DUMMYFUNCTION("GOOGLETRANSLATE(B3232, ""bn"", ""en"")"),"I strongly condemn and call upon Muslims all over the world to protest. Amen.")</f>
        <v>I strongly condemn and call upon Muslims all over the world to protest. Amen.</v>
      </c>
      <c r="D3232" s="7"/>
      <c r="E3232" s="7"/>
      <c r="F3232" s="5"/>
      <c r="G3232" s="5"/>
      <c r="H3232" s="5"/>
      <c r="I3232" s="5"/>
      <c r="J3232" s="5"/>
      <c r="K3232" s="5"/>
      <c r="L3232" s="5"/>
      <c r="M3232" s="5"/>
      <c r="N3232" s="5"/>
      <c r="O3232" s="5"/>
      <c r="P3232" s="5"/>
      <c r="Q3232" s="5"/>
      <c r="R3232" s="5"/>
      <c r="S3232" s="5"/>
      <c r="T3232" s="5"/>
      <c r="U3232" s="5"/>
      <c r="V3232" s="5"/>
      <c r="W3232" s="5"/>
      <c r="X3232" s="5"/>
      <c r="Y3232" s="5"/>
      <c r="Z3232" s="5"/>
    </row>
    <row r="3233" spans="1:26" ht="15.6" x14ac:dyDescent="0.3">
      <c r="A3233" s="19" t="s">
        <v>3</v>
      </c>
      <c r="B3233" s="26" t="s">
        <v>3222</v>
      </c>
      <c r="C3233" s="2" t="str">
        <f ca="1">IFERROR(__xludf.DUMMYFUNCTION("GOOGLETRANSLATE(B3233, ""bn"", ""en"")"),"Most of the country's Muslims belong to the Sunni community, but the Shia community living in the cities is also a significant part.")</f>
        <v>Most of the country's Muslims belong to the Sunni community, but the Shia community living in the cities is also a significant part.</v>
      </c>
      <c r="D3233" s="7"/>
      <c r="E3233" s="7"/>
      <c r="F3233" s="7"/>
      <c r="G3233" s="7"/>
      <c r="H3233" s="5"/>
      <c r="I3233" s="5"/>
      <c r="J3233" s="5"/>
      <c r="K3233" s="5"/>
      <c r="L3233" s="5"/>
      <c r="M3233" s="5"/>
      <c r="N3233" s="5"/>
      <c r="O3233" s="5"/>
      <c r="P3233" s="5"/>
      <c r="Q3233" s="5"/>
      <c r="R3233" s="5"/>
      <c r="S3233" s="5"/>
      <c r="T3233" s="5"/>
      <c r="U3233" s="5"/>
      <c r="V3233" s="5"/>
      <c r="W3233" s="5"/>
      <c r="X3233" s="5"/>
      <c r="Y3233" s="5"/>
      <c r="Z3233" s="5"/>
    </row>
    <row r="3234" spans="1:26" ht="15.6" x14ac:dyDescent="0.3">
      <c r="A3234" s="18" t="s">
        <v>3</v>
      </c>
      <c r="B3234" s="25" t="s">
        <v>3223</v>
      </c>
      <c r="C3234" s="2" t="str">
        <f ca="1">IFERROR(__xludf.DUMMYFUNCTION("GOOGLETRANSLATE(B3234, ""bn"", ""en"")"),"There is no certainty about the exact day of Shab Qadr, but according to hadiths, it is more likely to occur on the odd nights of the last decade of Ramadan, especially on the twenty-seventh.")</f>
        <v>There is no certainty about the exact day of Shab Qadr, but according to hadiths, it is more likely to occur on the odd nights of the last decade of Ramadan, especially on the twenty-seventh.</v>
      </c>
      <c r="D3234" s="5"/>
      <c r="E3234" s="5"/>
      <c r="F3234" s="5"/>
      <c r="G3234" s="5"/>
      <c r="H3234" s="5"/>
      <c r="I3234" s="5"/>
      <c r="J3234" s="5"/>
      <c r="K3234" s="5"/>
      <c r="L3234" s="5"/>
      <c r="M3234" s="5"/>
      <c r="N3234" s="5"/>
      <c r="O3234" s="5"/>
      <c r="P3234" s="5"/>
      <c r="Q3234" s="5"/>
      <c r="R3234" s="5"/>
      <c r="S3234" s="5"/>
      <c r="T3234" s="5"/>
      <c r="U3234" s="5"/>
      <c r="V3234" s="5"/>
      <c r="W3234" s="5"/>
      <c r="X3234" s="5"/>
      <c r="Y3234" s="5"/>
      <c r="Z3234" s="5"/>
    </row>
    <row r="3235" spans="1:26" ht="15.6" x14ac:dyDescent="0.3">
      <c r="A3235" s="18" t="s">
        <v>3</v>
      </c>
      <c r="B3235" s="25" t="s">
        <v>3224</v>
      </c>
      <c r="C3235" s="2" t="str">
        <f ca="1">IFERROR(__xludf.DUMMYFUNCTION("GOOGLETRANSLATE(B3235, ""bn"", ""en"")"),"The problem is that instead of being human, we have become Hindus, Muslims, Christians, Buddhists, etc., and this is why there are so many problems. Religion should be in the place of religion.")</f>
        <v>The problem is that instead of being human, we have become Hindus, Muslims, Christians, Buddhists, etc., and this is why there are so many problems. Religion should be in the place of religion.</v>
      </c>
      <c r="D3235" s="7"/>
      <c r="E3235" s="7"/>
      <c r="F3235" s="7"/>
      <c r="G3235" s="7"/>
      <c r="H3235" s="7"/>
      <c r="I3235" s="5"/>
      <c r="J3235" s="5"/>
      <c r="K3235" s="5"/>
      <c r="L3235" s="5"/>
      <c r="M3235" s="5"/>
      <c r="N3235" s="5"/>
      <c r="O3235" s="5"/>
      <c r="P3235" s="5"/>
      <c r="Q3235" s="5"/>
      <c r="R3235" s="5"/>
      <c r="S3235" s="5"/>
      <c r="T3235" s="5"/>
      <c r="U3235" s="5"/>
      <c r="V3235" s="5"/>
      <c r="W3235" s="5"/>
      <c r="X3235" s="5"/>
      <c r="Y3235" s="5"/>
      <c r="Z3235" s="5"/>
    </row>
    <row r="3236" spans="1:26" ht="15.6" x14ac:dyDescent="0.3">
      <c r="A3236" s="18" t="s">
        <v>23</v>
      </c>
      <c r="B3236" s="25" t="s">
        <v>3225</v>
      </c>
      <c r="C3236" s="2" t="str">
        <f ca="1">IFERROR(__xludf.DUMMYFUNCTION("GOOGLETRANSLATE(B3236, ""bn"", ""en"")"),"No one can pass by insulting Allah and His Messenger.")</f>
        <v>No one can pass by insulting Allah and His Messenger.</v>
      </c>
      <c r="D3236" s="2"/>
      <c r="E3236" s="2"/>
      <c r="F3236" s="2"/>
      <c r="G3236" s="2"/>
      <c r="H3236" s="3"/>
      <c r="I3236" s="3"/>
      <c r="J3236" s="3"/>
      <c r="K3236" s="3"/>
      <c r="L3236" s="3"/>
      <c r="M3236" s="3"/>
      <c r="N3236" s="3"/>
      <c r="O3236" s="3"/>
      <c r="P3236" s="3"/>
      <c r="Q3236" s="3"/>
      <c r="R3236" s="3"/>
      <c r="S3236" s="3"/>
      <c r="T3236" s="3"/>
      <c r="U3236" s="3"/>
      <c r="V3236" s="3"/>
      <c r="W3236" s="3"/>
      <c r="X3236" s="3"/>
      <c r="Y3236" s="3"/>
      <c r="Z3236" s="3"/>
    </row>
    <row r="3237" spans="1:26" ht="15.6" x14ac:dyDescent="0.3">
      <c r="A3237" s="18" t="s">
        <v>5</v>
      </c>
      <c r="B3237" s="25" t="s">
        <v>3226</v>
      </c>
      <c r="C3237" s="2" t="str">
        <f ca="1">IFERROR(__xludf.DUMMYFUNCTION("GOOGLETRANSLATE(B3237, ""bn"", ""en"")"),"After the student movement, hundreds of people were killed under the umbrella of the law and order forces by attacking the religious identity, and Naniyachar turned into a bloody horror.")</f>
        <v>After the student movement, hundreds of people were killed under the umbrella of the law and order forces by attacking the religious identity, and Naniyachar turned into a bloody horror.</v>
      </c>
      <c r="D3237" s="5"/>
      <c r="E3237" s="5"/>
      <c r="F3237" s="5"/>
      <c r="G3237" s="5"/>
      <c r="H3237" s="5"/>
      <c r="I3237" s="5"/>
      <c r="J3237" s="5"/>
      <c r="K3237" s="5"/>
      <c r="L3237" s="5"/>
      <c r="M3237" s="5"/>
      <c r="N3237" s="5"/>
      <c r="O3237" s="5"/>
      <c r="P3237" s="5"/>
      <c r="Q3237" s="5"/>
      <c r="R3237" s="5"/>
      <c r="S3237" s="5"/>
      <c r="T3237" s="5"/>
      <c r="U3237" s="5"/>
      <c r="V3237" s="5"/>
      <c r="W3237" s="5"/>
      <c r="X3237" s="5"/>
      <c r="Y3237" s="5"/>
      <c r="Z3237" s="5"/>
    </row>
    <row r="3238" spans="1:26" ht="15.6" x14ac:dyDescent="0.3">
      <c r="A3238" s="19" t="s">
        <v>3</v>
      </c>
      <c r="B3238" s="26" t="s">
        <v>3227</v>
      </c>
      <c r="C3238" s="2" t="str">
        <f ca="1">IFERROR(__xludf.DUMMYFUNCTION("GOOGLETRANSLATE(B3238, ""bn"", ""en"")"),"The Gita itself clearly states that all people are treated equally and that the path of worship is only one.")</f>
        <v>The Gita itself clearly states that all people are treated equally and that the path of worship is only one.</v>
      </c>
      <c r="D3238" s="5"/>
      <c r="E3238" s="5"/>
      <c r="F3238" s="5"/>
      <c r="G3238" s="5"/>
      <c r="H3238" s="5"/>
      <c r="I3238" s="5"/>
      <c r="J3238" s="5"/>
      <c r="K3238" s="5"/>
      <c r="L3238" s="5"/>
      <c r="M3238" s="5"/>
      <c r="N3238" s="5"/>
      <c r="O3238" s="5"/>
      <c r="P3238" s="5"/>
      <c r="Q3238" s="5"/>
      <c r="R3238" s="5"/>
      <c r="S3238" s="5"/>
      <c r="T3238" s="5"/>
      <c r="U3238" s="5"/>
      <c r="V3238" s="5"/>
      <c r="W3238" s="5"/>
      <c r="X3238" s="5"/>
      <c r="Y3238" s="5"/>
      <c r="Z3238" s="5"/>
    </row>
    <row r="3239" spans="1:26" ht="15.6" x14ac:dyDescent="0.3">
      <c r="A3239" s="19" t="s">
        <v>23</v>
      </c>
      <c r="B3239" s="26" t="s">
        <v>3228</v>
      </c>
      <c r="C3239" s="2" t="str">
        <f ca="1">IFERROR(__xludf.DUMMYFUNCTION("GOOGLETRANSLATE(B3239, ""bn"", ""en"")"),"Strongly condemn the heinous incident of religious insult. I want an exemplary punishment for the culprits, so that no one dares to do this in future.")</f>
        <v>Strongly condemn the heinous incident of religious insult. I want an exemplary punishment for the culprits, so that no one dares to do this in future.</v>
      </c>
      <c r="D3239" s="7"/>
      <c r="E3239" s="7"/>
      <c r="F3239" s="7"/>
      <c r="G3239" s="7"/>
      <c r="H3239" s="7"/>
      <c r="I3239" s="5"/>
      <c r="J3239" s="5"/>
      <c r="K3239" s="5"/>
      <c r="L3239" s="5"/>
      <c r="M3239" s="5"/>
      <c r="N3239" s="5"/>
      <c r="O3239" s="5"/>
      <c r="P3239" s="5"/>
      <c r="Q3239" s="5"/>
      <c r="R3239" s="5"/>
      <c r="S3239" s="5"/>
      <c r="T3239" s="5"/>
      <c r="U3239" s="5"/>
      <c r="V3239" s="5"/>
      <c r="W3239" s="5"/>
      <c r="X3239" s="5"/>
      <c r="Y3239" s="5"/>
      <c r="Z3239" s="5"/>
    </row>
    <row r="3240" spans="1:26" ht="15.6" x14ac:dyDescent="0.3">
      <c r="A3240" s="18" t="s">
        <v>8</v>
      </c>
      <c r="B3240" s="25" t="s">
        <v>3229</v>
      </c>
      <c r="C3240" s="2" t="str">
        <f ca="1">IFERROR(__xludf.DUMMYFUNCTION("GOOGLETRANSLATE(B3240, ""bn"", ""en"")"),"Some bigoted people set fire to 10 Buddhist villages, looted and killed them in the name of heaven, this atrocity is nothing but barbarism in the name of religion.")</f>
        <v>Some bigoted people set fire to 10 Buddhist villages, looted and killed them in the name of heaven, this atrocity is nothing but barbarism in the name of religion.</v>
      </c>
      <c r="D3240" s="5"/>
      <c r="E3240" s="5"/>
      <c r="F3240" s="5"/>
      <c r="G3240" s="5"/>
      <c r="H3240" s="5"/>
      <c r="I3240" s="5"/>
      <c r="J3240" s="5"/>
      <c r="K3240" s="5"/>
      <c r="L3240" s="5"/>
      <c r="M3240" s="5"/>
      <c r="N3240" s="5"/>
      <c r="O3240" s="5"/>
      <c r="P3240" s="5"/>
      <c r="Q3240" s="5"/>
      <c r="R3240" s="5"/>
      <c r="S3240" s="5"/>
      <c r="T3240" s="5"/>
      <c r="U3240" s="5"/>
      <c r="V3240" s="5"/>
      <c r="W3240" s="5"/>
      <c r="X3240" s="5"/>
      <c r="Y3240" s="5"/>
      <c r="Z3240" s="5"/>
    </row>
    <row r="3241" spans="1:26" ht="15.6" x14ac:dyDescent="0.3">
      <c r="A3241" s="19" t="s">
        <v>3</v>
      </c>
      <c r="B3241" s="26" t="s">
        <v>3230</v>
      </c>
      <c r="C3241" s="2" t="str">
        <f ca="1">IFERROR(__xludf.DUMMYFUNCTION("GOOGLETRANSLATE(B3241, ""bn"", ""en"")"),"Otherwise, the possibility of following the true path of religion in the shell of religion cannot be ruled out in the future.")</f>
        <v>Otherwise, the possibility of following the true path of religion in the shell of religion cannot be ruled out in the future.</v>
      </c>
      <c r="D3241" s="7"/>
      <c r="E3241" s="7"/>
      <c r="F3241" s="7"/>
      <c r="G3241" s="5"/>
      <c r="H3241" s="5"/>
      <c r="I3241" s="5"/>
      <c r="J3241" s="5"/>
      <c r="K3241" s="5"/>
      <c r="L3241" s="5"/>
      <c r="M3241" s="5"/>
      <c r="N3241" s="5"/>
      <c r="O3241" s="5"/>
      <c r="P3241" s="5"/>
      <c r="Q3241" s="5"/>
      <c r="R3241" s="5"/>
      <c r="S3241" s="5"/>
      <c r="T3241" s="5"/>
      <c r="U3241" s="5"/>
      <c r="V3241" s="5"/>
      <c r="W3241" s="5"/>
      <c r="X3241" s="5"/>
      <c r="Y3241" s="5"/>
      <c r="Z3241" s="5"/>
    </row>
    <row r="3242" spans="1:26" ht="15.6" x14ac:dyDescent="0.3">
      <c r="A3242" s="18" t="s">
        <v>3</v>
      </c>
      <c r="B3242" s="25" t="s">
        <v>3231</v>
      </c>
      <c r="C3242" s="2" t="str">
        <f ca="1">IFERROR(__xludf.DUMMYFUNCTION("GOOGLETRANSLATE(B3242, ""bn"", ""en"")"),"Bibi Khadija, the wife of the Prophet of Islam and the first convert to Islam, was herself a trader and was the head of the Merchants Association of Makkah.")</f>
        <v>Bibi Khadija, the wife of the Prophet of Islam and the first convert to Islam, was herself a trader and was the head of the Merchants Association of Makkah.</v>
      </c>
      <c r="D3242" s="5"/>
      <c r="E3242" s="5"/>
      <c r="F3242" s="5"/>
      <c r="G3242" s="5"/>
      <c r="H3242" s="5"/>
      <c r="I3242" s="5"/>
      <c r="J3242" s="5"/>
      <c r="K3242" s="5"/>
      <c r="L3242" s="5"/>
      <c r="M3242" s="5"/>
      <c r="N3242" s="5"/>
      <c r="O3242" s="5"/>
      <c r="P3242" s="5"/>
      <c r="Q3242" s="5"/>
      <c r="R3242" s="5"/>
      <c r="S3242" s="5"/>
      <c r="T3242" s="5"/>
      <c r="U3242" s="5"/>
      <c r="V3242" s="5"/>
      <c r="W3242" s="5"/>
      <c r="X3242" s="5"/>
      <c r="Y3242" s="5"/>
      <c r="Z3242" s="5"/>
    </row>
    <row r="3243" spans="1:26" ht="15.6" x14ac:dyDescent="0.3">
      <c r="A3243" s="18" t="s">
        <v>23</v>
      </c>
      <c r="B3243" s="25" t="s">
        <v>3232</v>
      </c>
      <c r="C3243" s="2" t="str">
        <f ca="1">IFERROR(__xludf.DUMMYFUNCTION("GOOGLETRANSLATE(B3243, ""bn"", ""en"")"),"They are not religious people, they are always emotional, not on the edge of logic, innocent of the whole world. It is possible to stop the extremists of the people united.")</f>
        <v>They are not religious people, they are always emotional, not on the edge of logic, innocent of the whole world. It is possible to stop the extremists of the people united.</v>
      </c>
      <c r="D3243" s="5"/>
      <c r="E3243" s="5"/>
      <c r="F3243" s="5"/>
      <c r="G3243" s="5"/>
      <c r="H3243" s="5"/>
      <c r="I3243" s="5"/>
      <c r="J3243" s="5"/>
      <c r="K3243" s="5"/>
      <c r="L3243" s="5"/>
      <c r="M3243" s="5"/>
      <c r="N3243" s="5"/>
      <c r="O3243" s="5"/>
      <c r="P3243" s="5"/>
      <c r="Q3243" s="5"/>
      <c r="R3243" s="5"/>
      <c r="S3243" s="5"/>
      <c r="T3243" s="5"/>
      <c r="U3243" s="5"/>
      <c r="V3243" s="5"/>
      <c r="W3243" s="5"/>
      <c r="X3243" s="5"/>
      <c r="Y3243" s="5"/>
      <c r="Z3243" s="5"/>
    </row>
    <row r="3244" spans="1:26" ht="15.6" x14ac:dyDescent="0.3">
      <c r="A3244" s="18" t="s">
        <v>5</v>
      </c>
      <c r="B3244" s="24" t="s">
        <v>3233</v>
      </c>
      <c r="C3244" s="2" t="str">
        <f ca="1">IFERROR(__xludf.DUMMYFUNCTION("GOOGLETRANSLATE(B3244, ""bn"", ""en"")"),"42 people lost their lives in Gaibandha clashes due to religious disputes. Police have worked to bring peace, but the violence has not subsided. The government urged people to remain calm to maintain religious tolerance. Many minority families seek shelte"&amp;"r due to insecurity.")</f>
        <v>42 people lost their lives in Gaibandha clashes due to religious disputes. Police have worked to bring peace, but the violence has not subsided. The government urged people to remain calm to maintain religious tolerance. Many minority families seek shelter due to insecurity.</v>
      </c>
      <c r="D3244" s="5"/>
      <c r="E3244" s="5"/>
      <c r="F3244" s="5"/>
      <c r="G3244" s="5"/>
      <c r="H3244" s="5"/>
      <c r="I3244" s="5"/>
      <c r="J3244" s="5"/>
      <c r="K3244" s="5"/>
      <c r="L3244" s="5"/>
      <c r="M3244" s="5"/>
      <c r="N3244" s="5"/>
      <c r="O3244" s="5"/>
      <c r="P3244" s="5"/>
      <c r="Q3244" s="5"/>
      <c r="R3244" s="5"/>
      <c r="S3244" s="5"/>
      <c r="T3244" s="5"/>
      <c r="U3244" s="5"/>
      <c r="V3244" s="5"/>
      <c r="W3244" s="5"/>
      <c r="X3244" s="5"/>
      <c r="Y3244" s="5"/>
      <c r="Z3244" s="5"/>
    </row>
    <row r="3245" spans="1:26" ht="15.6" x14ac:dyDescent="0.3">
      <c r="A3245" s="19" t="s">
        <v>3</v>
      </c>
      <c r="B3245" s="26" t="s">
        <v>3234</v>
      </c>
      <c r="C3245" s="2" t="str">
        <f ca="1">IFERROR(__xludf.DUMMYFUNCTION("GOOGLETRANSLATE(B3245, ""bn"", ""en"")"),"In the Qur'an Allah praises animals and birds because they proclaim His glory and are as important creations as humans.")</f>
        <v>In the Qur'an Allah praises animals and birds because they proclaim His glory and are as important creations as humans.</v>
      </c>
      <c r="D3245" s="7"/>
      <c r="E3245" s="7"/>
      <c r="F3245" s="7"/>
      <c r="G3245" s="7"/>
      <c r="H3245" s="7"/>
      <c r="I3245" s="5"/>
      <c r="J3245" s="5"/>
      <c r="K3245" s="5"/>
      <c r="L3245" s="5"/>
      <c r="M3245" s="5"/>
      <c r="N3245" s="5"/>
      <c r="O3245" s="5"/>
      <c r="P3245" s="5"/>
      <c r="Q3245" s="5"/>
      <c r="R3245" s="5"/>
      <c r="S3245" s="5"/>
      <c r="T3245" s="5"/>
      <c r="U3245" s="5"/>
      <c r="V3245" s="5"/>
      <c r="W3245" s="5"/>
      <c r="X3245" s="5"/>
      <c r="Y3245" s="5"/>
      <c r="Z3245" s="5"/>
    </row>
    <row r="3246" spans="1:26" ht="15.6" x14ac:dyDescent="0.3">
      <c r="A3246" s="19" t="s">
        <v>8</v>
      </c>
      <c r="B3246" s="26" t="s">
        <v>3235</v>
      </c>
      <c r="C3246" s="2" t="str">
        <f ca="1">IFERROR(__xludf.DUMMYFUNCTION("GOOGLETRANSLATE(B3246, ""bn"", ""en"")"),"The miscreants hung ""undesirable"" inscriptions at the entrance of the temple in Panchagarh, and later attacked it by pelting stones.")</f>
        <v>The miscreants hung "undesirable" inscriptions at the entrance of the temple in Panchagarh, and later attacked it by pelting stones.</v>
      </c>
      <c r="D3246" s="5"/>
      <c r="E3246" s="5"/>
      <c r="F3246" s="5"/>
      <c r="G3246" s="5"/>
      <c r="H3246" s="5"/>
      <c r="I3246" s="5"/>
      <c r="J3246" s="5"/>
      <c r="K3246" s="5"/>
      <c r="L3246" s="5"/>
      <c r="M3246" s="5"/>
      <c r="N3246" s="5"/>
      <c r="O3246" s="5"/>
      <c r="P3246" s="5"/>
      <c r="Q3246" s="5"/>
      <c r="R3246" s="5"/>
      <c r="S3246" s="5"/>
      <c r="T3246" s="5"/>
      <c r="U3246" s="5"/>
      <c r="V3246" s="5"/>
      <c r="W3246" s="5"/>
      <c r="X3246" s="5"/>
      <c r="Y3246" s="5"/>
      <c r="Z3246" s="5"/>
    </row>
    <row r="3247" spans="1:26" ht="15.6" x14ac:dyDescent="0.3">
      <c r="A3247" s="18" t="s">
        <v>23</v>
      </c>
      <c r="B3247" s="25" t="s">
        <v>3236</v>
      </c>
      <c r="C3247" s="2" t="str">
        <f ca="1">IFERROR(__xludf.DUMMYFUNCTION("GOOGLETRANSLATE(B3247, ""bn"", ""en"")"),"Parliament can consider the provision of death penalty or life sentence by making the section of Cyber ​​Security Act-2023 non-bailable against anyone who blasphemes the Prophet-Messenger or religious persons and any scriptures.")</f>
        <v>Parliament can consider the provision of death penalty or life sentence by making the section of Cyber ​​Security Act-2023 non-bailable against anyone who blasphemes the Prophet-Messenger or religious persons and any scriptures.</v>
      </c>
      <c r="D3247" s="6"/>
      <c r="E3247" s="6"/>
      <c r="F3247" s="6"/>
      <c r="G3247" s="6"/>
      <c r="H3247" s="5"/>
      <c r="I3247" s="5"/>
      <c r="J3247" s="5"/>
      <c r="K3247" s="5"/>
      <c r="L3247" s="5"/>
      <c r="M3247" s="5"/>
      <c r="N3247" s="5"/>
      <c r="O3247" s="5"/>
      <c r="P3247" s="5"/>
      <c r="Q3247" s="5"/>
      <c r="R3247" s="5"/>
      <c r="S3247" s="5"/>
      <c r="T3247" s="5"/>
      <c r="U3247" s="5"/>
      <c r="V3247" s="5"/>
      <c r="W3247" s="5"/>
      <c r="X3247" s="5"/>
      <c r="Y3247" s="5"/>
      <c r="Z3247" s="5"/>
    </row>
    <row r="3248" spans="1:26" ht="15.6" x14ac:dyDescent="0.3">
      <c r="A3248" s="19" t="s">
        <v>23</v>
      </c>
      <c r="B3248" s="26" t="s">
        <v>3237</v>
      </c>
      <c r="C3248" s="2" t="str">
        <f ca="1">IFERROR(__xludf.DUMMYFUNCTION("GOOGLETRANSLATE(B3248, ""bn"", ""en"")"),"A man is going on some urgent work with his mother and sister. A group of Hindu communal militants have started playing Holi around them.")</f>
        <v>A man is going on some urgent work with his mother and sister. A group of Hindu communal militants have started playing Holi around them.</v>
      </c>
      <c r="D3248" s="5"/>
      <c r="E3248" s="5"/>
      <c r="F3248" s="5"/>
      <c r="G3248" s="5"/>
      <c r="H3248" s="5"/>
      <c r="I3248" s="5"/>
      <c r="J3248" s="5"/>
      <c r="K3248" s="5"/>
      <c r="L3248" s="5"/>
      <c r="M3248" s="5"/>
      <c r="N3248" s="5"/>
      <c r="O3248" s="5"/>
      <c r="P3248" s="5"/>
      <c r="Q3248" s="5"/>
      <c r="R3248" s="5"/>
      <c r="S3248" s="5"/>
      <c r="T3248" s="5"/>
      <c r="U3248" s="5"/>
      <c r="V3248" s="5"/>
      <c r="W3248" s="5"/>
      <c r="X3248" s="5"/>
      <c r="Y3248" s="5"/>
      <c r="Z3248" s="5"/>
    </row>
    <row r="3249" spans="1:26" ht="15.6" x14ac:dyDescent="0.3">
      <c r="A3249" s="19" t="s">
        <v>5</v>
      </c>
      <c r="B3249" s="26" t="s">
        <v>3238</v>
      </c>
      <c r="C3249" s="2" t="str">
        <f ca="1">IFERROR(__xludf.DUMMYFUNCTION("GOOGLETRANSLATE(B3249, ""bn"", ""en"")"),"A soldier was forced to say ""Jai Bangla"" and was killed by a rifle barrel in his throat.")</f>
        <v>A soldier was forced to say "Jai Bangla" and was killed by a rifle barrel in his throat.</v>
      </c>
      <c r="D3249" s="7"/>
      <c r="E3249" s="7"/>
      <c r="F3249" s="7"/>
      <c r="G3249" s="7"/>
      <c r="H3249" s="7"/>
      <c r="I3249" s="5"/>
      <c r="J3249" s="5"/>
      <c r="K3249" s="5"/>
      <c r="L3249" s="5"/>
      <c r="M3249" s="5"/>
      <c r="N3249" s="5"/>
      <c r="O3249" s="5"/>
      <c r="P3249" s="5"/>
      <c r="Q3249" s="5"/>
      <c r="R3249" s="5"/>
      <c r="S3249" s="5"/>
      <c r="T3249" s="5"/>
      <c r="U3249" s="5"/>
      <c r="V3249" s="5"/>
      <c r="W3249" s="5"/>
      <c r="X3249" s="5"/>
      <c r="Y3249" s="5"/>
      <c r="Z3249" s="5"/>
    </row>
    <row r="3250" spans="1:26" ht="15.6" x14ac:dyDescent="0.3">
      <c r="A3250" s="18" t="s">
        <v>5</v>
      </c>
      <c r="B3250" s="24" t="s">
        <v>3239</v>
      </c>
      <c r="C3250" s="2" t="str">
        <f ca="1">IFERROR(__xludf.DUMMYFUNCTION("GOOGLETRANSLATE(B3250, ""bn"", ""en"")"),"In July 2021, religious groups fired a female teacher because of her religious identity; 12 people were killed in the protest clashes.")</f>
        <v>In July 2021, religious groups fired a female teacher because of her religious identity; 12 people were killed in the protest clashes.</v>
      </c>
      <c r="D3250" s="5"/>
      <c r="E3250" s="5"/>
      <c r="F3250" s="5"/>
      <c r="G3250" s="5"/>
      <c r="H3250" s="5"/>
      <c r="I3250" s="5"/>
      <c r="J3250" s="5"/>
      <c r="K3250" s="5"/>
      <c r="L3250" s="5"/>
      <c r="M3250" s="5"/>
      <c r="N3250" s="5"/>
      <c r="O3250" s="5"/>
      <c r="P3250" s="5"/>
      <c r="Q3250" s="5"/>
      <c r="R3250" s="5"/>
      <c r="S3250" s="5"/>
      <c r="T3250" s="5"/>
      <c r="U3250" s="5"/>
      <c r="V3250" s="5"/>
      <c r="W3250" s="5"/>
      <c r="X3250" s="5"/>
      <c r="Y3250" s="5"/>
      <c r="Z3250" s="5"/>
    </row>
    <row r="3251" spans="1:26" ht="15.6" x14ac:dyDescent="0.3">
      <c r="A3251" s="18" t="s">
        <v>3</v>
      </c>
      <c r="B3251" s="25" t="s">
        <v>3240</v>
      </c>
      <c r="C3251" s="2" t="str">
        <f ca="1">IFERROR(__xludf.DUMMYFUNCTION("GOOGLETRANSLATE(B3251, ""bn"", ""en"")"),"Alhamdulillah, Alhamdulillah. La ilaha illallah, Muhammadur Rasulullah. One God created the heavens and the earth. There is no one except Allah. La ilaha illallah, Muhammadur Rasulullah.")</f>
        <v>Alhamdulillah, Alhamdulillah. La ilaha illallah, Muhammadur Rasulullah. One God created the heavens and the earth. There is no one except Allah. La ilaha illallah, Muhammadur Rasulullah.</v>
      </c>
      <c r="D3251" s="2"/>
      <c r="E3251" s="2"/>
      <c r="F3251" s="2"/>
      <c r="G3251" s="2"/>
      <c r="H3251" s="3"/>
      <c r="I3251" s="3"/>
      <c r="J3251" s="3"/>
      <c r="K3251" s="3"/>
      <c r="L3251" s="3"/>
      <c r="M3251" s="3"/>
      <c r="N3251" s="3"/>
      <c r="O3251" s="3"/>
      <c r="P3251" s="3"/>
      <c r="Q3251" s="3"/>
      <c r="R3251" s="3"/>
      <c r="S3251" s="3"/>
      <c r="T3251" s="3"/>
      <c r="U3251" s="3"/>
      <c r="V3251" s="3"/>
      <c r="W3251" s="3"/>
      <c r="X3251" s="3"/>
      <c r="Y3251" s="3"/>
      <c r="Z3251" s="3"/>
    </row>
    <row r="3252" spans="1:26" ht="15.6" x14ac:dyDescent="0.3">
      <c r="A3252" s="18" t="s">
        <v>8</v>
      </c>
      <c r="B3252" s="25" t="s">
        <v>3241</v>
      </c>
      <c r="C3252" s="2" t="str">
        <f ca="1">IFERROR(__xludf.DUMMYFUNCTION("GOOGLETRANSLATE(B3252, ""bn"", ""en"")"),"According to reports, 115 cases have been registered and at least 100 people have been arrested in the country since August 4.")</f>
        <v>According to reports, 115 cases have been registered and at least 100 people have been arrested in the country since August 4.</v>
      </c>
      <c r="D3252" s="2"/>
      <c r="E3252" s="2"/>
      <c r="F3252" s="2"/>
      <c r="G3252" s="2"/>
      <c r="H3252" s="3"/>
      <c r="I3252" s="3"/>
      <c r="J3252" s="3"/>
      <c r="K3252" s="3"/>
      <c r="L3252" s="3"/>
      <c r="M3252" s="3"/>
      <c r="N3252" s="3"/>
      <c r="O3252" s="3"/>
      <c r="P3252" s="3"/>
      <c r="Q3252" s="3"/>
      <c r="R3252" s="3"/>
      <c r="S3252" s="3"/>
      <c r="T3252" s="3"/>
      <c r="U3252" s="3"/>
      <c r="V3252" s="3"/>
      <c r="W3252" s="3"/>
      <c r="X3252" s="3"/>
      <c r="Y3252" s="3"/>
      <c r="Z3252" s="3"/>
    </row>
    <row r="3253" spans="1:26" ht="15.6" x14ac:dyDescent="0.3">
      <c r="A3253" s="18" t="s">
        <v>3</v>
      </c>
      <c r="B3253" s="25" t="s">
        <v>3242</v>
      </c>
      <c r="C3253" s="2" t="str">
        <f ca="1">IFERROR(__xludf.DUMMYFUNCTION("GOOGLETRANSLATE(B3253, ""bn"", ""en"")"),"By following Allah's guidance, we realize the purpose of our creation and live our lives aright.")</f>
        <v>By following Allah's guidance, we realize the purpose of our creation and live our lives aright.</v>
      </c>
      <c r="D3253" s="7"/>
      <c r="E3253" s="7"/>
      <c r="F3253" s="7"/>
      <c r="G3253" s="7"/>
      <c r="H3253" s="7"/>
      <c r="I3253" s="7"/>
      <c r="J3253" s="7"/>
      <c r="K3253" s="7"/>
      <c r="L3253" s="5"/>
      <c r="M3253" s="5"/>
      <c r="N3253" s="5"/>
      <c r="O3253" s="5"/>
      <c r="P3253" s="5"/>
      <c r="Q3253" s="5"/>
      <c r="R3253" s="5"/>
      <c r="S3253" s="5"/>
      <c r="T3253" s="5"/>
      <c r="U3253" s="5"/>
      <c r="V3253" s="5"/>
      <c r="W3253" s="5"/>
      <c r="X3253" s="5"/>
      <c r="Y3253" s="5"/>
      <c r="Z3253" s="5"/>
    </row>
    <row r="3254" spans="1:26" ht="15.6" x14ac:dyDescent="0.3">
      <c r="A3254" s="18" t="s">
        <v>23</v>
      </c>
      <c r="B3254" s="25" t="s">
        <v>3243</v>
      </c>
      <c r="C3254" s="2" t="str">
        <f ca="1">IFERROR(__xludf.DUMMYFUNCTION("GOOGLETRANSLATE(B3254, ""bn"", ""en"")"),"Talk to them. They stepped on a shelf. So someone is saying that the Qur'an has been stepped on - such a rumor may have spread.")</f>
        <v>Talk to them. They stepped on a shelf. So someone is saying that the Qur'an has been stepped on - such a rumor may have spread.</v>
      </c>
      <c r="D3254" s="5"/>
      <c r="E3254" s="5"/>
      <c r="F3254" s="5"/>
      <c r="G3254" s="5"/>
      <c r="H3254" s="5"/>
      <c r="I3254" s="5"/>
      <c r="J3254" s="5"/>
      <c r="K3254" s="5"/>
      <c r="L3254" s="5"/>
      <c r="M3254" s="5"/>
      <c r="N3254" s="5"/>
      <c r="O3254" s="5"/>
      <c r="P3254" s="5"/>
      <c r="Q3254" s="5"/>
      <c r="R3254" s="5"/>
      <c r="S3254" s="5"/>
      <c r="T3254" s="5"/>
      <c r="U3254" s="5"/>
      <c r="V3254" s="5"/>
      <c r="W3254" s="5"/>
      <c r="X3254" s="5"/>
      <c r="Y3254" s="5"/>
      <c r="Z3254" s="5"/>
    </row>
    <row r="3255" spans="1:26" ht="15.6" x14ac:dyDescent="0.3">
      <c r="A3255" s="19" t="s">
        <v>5</v>
      </c>
      <c r="B3255" s="26" t="s">
        <v>3244</v>
      </c>
      <c r="C3255" s="2" t="str">
        <f ca="1">IFERROR(__xludf.DUMMYFUNCTION("GOOGLETRANSLATE(B3255, ""bn"", ""en"")"),"He committed suicide so can't post about him. If he was a Muslim, he would never have committed suicide, other religions did the same.")</f>
        <v>He committed suicide so can't post about him. If he was a Muslim, he would never have committed suicide, other religions did the same.</v>
      </c>
      <c r="D3255" s="5"/>
      <c r="E3255" s="5"/>
      <c r="F3255" s="5"/>
      <c r="G3255" s="5"/>
      <c r="H3255" s="5"/>
      <c r="I3255" s="5"/>
      <c r="J3255" s="5"/>
      <c r="K3255" s="5"/>
      <c r="L3255" s="5"/>
      <c r="M3255" s="5"/>
      <c r="N3255" s="5"/>
      <c r="O3255" s="5"/>
      <c r="P3255" s="5"/>
      <c r="Q3255" s="5"/>
      <c r="R3255" s="5"/>
      <c r="S3255" s="5"/>
      <c r="T3255" s="5"/>
      <c r="U3255" s="5"/>
      <c r="V3255" s="5"/>
      <c r="W3255" s="5"/>
      <c r="X3255" s="5"/>
      <c r="Y3255" s="5"/>
      <c r="Z3255" s="5"/>
    </row>
    <row r="3256" spans="1:26" ht="15.6" x14ac:dyDescent="0.3">
      <c r="A3256" s="18" t="s">
        <v>23</v>
      </c>
      <c r="B3256" s="25" t="s">
        <v>3245</v>
      </c>
      <c r="C3256" s="2" t="str">
        <f ca="1">IFERROR(__xludf.DUMMYFUNCTION("GOOGLETRANSLATE(B3256, ""bn"", ""en"")"),"Love to express yourself. miserliness Mismatch in words and deeds. Rejoicing at the danger of a Muslim brother. Do not see whether an act is sinful or not to see whether one dislikes it.")</f>
        <v>Love to express yourself. miserliness Mismatch in words and deeds. Rejoicing at the danger of a Muslim brother. Do not see whether an act is sinful or not to see whether one dislikes it.</v>
      </c>
      <c r="D3256" s="5"/>
      <c r="E3256" s="5"/>
      <c r="F3256" s="5"/>
      <c r="G3256" s="5"/>
      <c r="H3256" s="5"/>
      <c r="I3256" s="5"/>
      <c r="J3256" s="5"/>
      <c r="K3256" s="5"/>
      <c r="L3256" s="5"/>
      <c r="M3256" s="5"/>
      <c r="N3256" s="5"/>
      <c r="O3256" s="5"/>
      <c r="P3256" s="5"/>
      <c r="Q3256" s="5"/>
      <c r="R3256" s="5"/>
      <c r="S3256" s="5"/>
      <c r="T3256" s="5"/>
      <c r="U3256" s="5"/>
      <c r="V3256" s="5"/>
      <c r="W3256" s="5"/>
      <c r="X3256" s="5"/>
      <c r="Y3256" s="5"/>
      <c r="Z3256" s="5"/>
    </row>
    <row r="3257" spans="1:26" ht="15.6" x14ac:dyDescent="0.3">
      <c r="A3257" s="18" t="s">
        <v>5</v>
      </c>
      <c r="B3257" s="25" t="s">
        <v>3246</v>
      </c>
      <c r="C3257" s="2" t="str">
        <f ca="1">IFERROR(__xludf.DUMMYFUNCTION("GOOGLETRANSLATE(B3257, ""bn"", ""en"")"),"The High Court has said that hurting religious sentiments is a crime against humanity. Suicides and murders are increasing due to religious insults. The observation of the court has emerged that death penalty should be imposed for such incidents in Bangla"&amp;"desh.")</f>
        <v>The High Court has said that hurting religious sentiments is a crime against humanity. Suicides and murders are increasing due to religious insults. The observation of the court has emerged that death penalty should be imposed for such incidents in Bangladesh.</v>
      </c>
      <c r="D3257" s="5"/>
      <c r="E3257" s="5"/>
      <c r="F3257" s="5"/>
      <c r="G3257" s="5"/>
      <c r="H3257" s="5"/>
      <c r="I3257" s="5"/>
      <c r="J3257" s="5"/>
      <c r="K3257" s="5"/>
      <c r="L3257" s="5"/>
      <c r="M3257" s="5"/>
      <c r="N3257" s="5"/>
      <c r="O3257" s="5"/>
      <c r="P3257" s="5"/>
      <c r="Q3257" s="5"/>
      <c r="R3257" s="5"/>
      <c r="S3257" s="5"/>
      <c r="T3257" s="5"/>
      <c r="U3257" s="5"/>
      <c r="V3257" s="5"/>
      <c r="W3257" s="5"/>
      <c r="X3257" s="5"/>
      <c r="Y3257" s="5"/>
      <c r="Z3257" s="5"/>
    </row>
    <row r="3258" spans="1:26" ht="15.6" x14ac:dyDescent="0.3">
      <c r="A3258" s="18" t="s">
        <v>5</v>
      </c>
      <c r="B3258" s="24" t="s">
        <v>3247</v>
      </c>
      <c r="C3258" s="2" t="str">
        <f ca="1">IFERROR(__xludf.DUMMYFUNCTION("GOOGLETRANSLATE(B3258, ""bn"", ""en"")"),"In February 2017, a group attacked a temple in a minority village, killing 26 people and destroying hundreds of houses.")</f>
        <v>In February 2017, a group attacked a temple in a minority village, killing 26 people and destroying hundreds of houses.</v>
      </c>
      <c r="D3258" s="5"/>
      <c r="E3258" s="5"/>
      <c r="F3258" s="5"/>
      <c r="G3258" s="5"/>
      <c r="H3258" s="5"/>
      <c r="I3258" s="5"/>
      <c r="J3258" s="5"/>
      <c r="K3258" s="5"/>
      <c r="L3258" s="5"/>
      <c r="M3258" s="5"/>
      <c r="N3258" s="5"/>
      <c r="O3258" s="5"/>
      <c r="P3258" s="5"/>
      <c r="Q3258" s="5"/>
      <c r="R3258" s="5"/>
      <c r="S3258" s="5"/>
      <c r="T3258" s="5"/>
      <c r="U3258" s="5"/>
      <c r="V3258" s="5"/>
      <c r="W3258" s="5"/>
      <c r="X3258" s="5"/>
      <c r="Y3258" s="5"/>
      <c r="Z3258" s="5"/>
    </row>
    <row r="3259" spans="1:26" ht="15.6" x14ac:dyDescent="0.3">
      <c r="A3259" s="18" t="s">
        <v>5</v>
      </c>
      <c r="B3259" s="24" t="s">
        <v>3248</v>
      </c>
      <c r="C3259" s="2" t="str">
        <f ca="1">IFERROR(__xludf.DUMMYFUNCTION("GOOGLETRANSLATE(B3259, ""bn"", ""en"")"),"In September 2021, a bombing at a Christian church killed 43 people; Along with the church, the surrounding area was also heavily damaged.")</f>
        <v>In September 2021, a bombing at a Christian church killed 43 people; Along with the church, the surrounding area was also heavily damaged.</v>
      </c>
      <c r="D3259" s="5"/>
      <c r="E3259" s="5"/>
      <c r="F3259" s="5"/>
      <c r="G3259" s="5"/>
      <c r="H3259" s="5"/>
      <c r="I3259" s="5"/>
      <c r="J3259" s="5"/>
      <c r="K3259" s="5"/>
      <c r="L3259" s="5"/>
      <c r="M3259" s="5"/>
      <c r="N3259" s="5"/>
      <c r="O3259" s="5"/>
      <c r="P3259" s="5"/>
      <c r="Q3259" s="5"/>
      <c r="R3259" s="5"/>
      <c r="S3259" s="5"/>
      <c r="T3259" s="5"/>
      <c r="U3259" s="5"/>
      <c r="V3259" s="5"/>
      <c r="W3259" s="5"/>
      <c r="X3259" s="5"/>
      <c r="Y3259" s="5"/>
      <c r="Z3259" s="5"/>
    </row>
    <row r="3260" spans="1:26" ht="15.6" x14ac:dyDescent="0.3">
      <c r="A3260" s="18" t="s">
        <v>23</v>
      </c>
      <c r="B3260" s="25" t="s">
        <v>3249</v>
      </c>
      <c r="C3260" s="2" t="str">
        <f ca="1">IFERROR(__xludf.DUMMYFUNCTION("GOOGLETRANSLATE(B3260, ""bn"", ""en"")"),"Islam is a religion of peace that does not hurt anyone else, Allah will judge those who burn the Quran")</f>
        <v>Islam is a religion of peace that does not hurt anyone else, Allah will judge those who burn the Quran</v>
      </c>
      <c r="D3260" s="7"/>
      <c r="E3260" s="5"/>
      <c r="F3260" s="5"/>
      <c r="G3260" s="5"/>
      <c r="H3260" s="5"/>
      <c r="I3260" s="5"/>
      <c r="J3260" s="5"/>
      <c r="K3260" s="5"/>
      <c r="L3260" s="5"/>
      <c r="M3260" s="5"/>
      <c r="N3260" s="5"/>
      <c r="O3260" s="5"/>
      <c r="P3260" s="5"/>
      <c r="Q3260" s="5"/>
      <c r="R3260" s="5"/>
      <c r="S3260" s="5"/>
      <c r="T3260" s="5"/>
      <c r="U3260" s="5"/>
      <c r="V3260" s="5"/>
      <c r="W3260" s="5"/>
      <c r="X3260" s="5"/>
      <c r="Y3260" s="5"/>
      <c r="Z3260" s="5"/>
    </row>
    <row r="3261" spans="1:26" ht="15.6" x14ac:dyDescent="0.3">
      <c r="A3261" s="19" t="s">
        <v>5</v>
      </c>
      <c r="B3261" s="26" t="s">
        <v>3250</v>
      </c>
      <c r="C3261" s="2" t="str">
        <f ca="1">IFERROR(__xludf.DUMMYFUNCTION("GOOGLETRANSLATE(B3261, ""bn"", ""en"")"),"Above, the girl said that if the society knew that she was raped, her parents would end the respect of her family, so she committed suicide. If the society was sympathetic, the girl would not have committed suicide, but would have gone to the police and t"&amp;"old them to arrest the culprit.")</f>
        <v>Above, the girl said that if the society knew that she was raped, her parents would end the respect of her family, so she committed suicide. If the society was sympathetic, the girl would not have committed suicide, but would have gone to the police and told them to arrest the culprit.</v>
      </c>
      <c r="D3261" s="7"/>
      <c r="E3261" s="5"/>
      <c r="F3261" s="5"/>
      <c r="G3261" s="5"/>
      <c r="H3261" s="5"/>
      <c r="I3261" s="5"/>
      <c r="J3261" s="5"/>
      <c r="K3261" s="5"/>
      <c r="L3261" s="5"/>
      <c r="M3261" s="5"/>
      <c r="N3261" s="5"/>
      <c r="O3261" s="5"/>
      <c r="P3261" s="5"/>
      <c r="Q3261" s="5"/>
      <c r="R3261" s="5"/>
      <c r="S3261" s="5"/>
      <c r="T3261" s="5"/>
      <c r="U3261" s="5"/>
      <c r="V3261" s="5"/>
      <c r="W3261" s="5"/>
      <c r="X3261" s="5"/>
      <c r="Y3261" s="5"/>
      <c r="Z3261" s="5"/>
    </row>
    <row r="3262" spans="1:26" ht="15.6" x14ac:dyDescent="0.3">
      <c r="A3262" s="19" t="s">
        <v>3</v>
      </c>
      <c r="B3262" s="26" t="s">
        <v>3251</v>
      </c>
      <c r="C3262" s="2" t="str">
        <f ca="1">IFERROR(__xludf.DUMMYFUNCTION("GOOGLETRANSLATE(B3262, ""bn"", ""en"")"),"Allah gave Muslims a different Qibla and the Prophet accepted it, so excessive excitement about Al Aqsa should be avoided.")</f>
        <v>Allah gave Muslims a different Qibla and the Prophet accepted it, so excessive excitement about Al Aqsa should be avoided.</v>
      </c>
      <c r="D3262" s="7"/>
      <c r="E3262" s="7"/>
      <c r="F3262" s="7"/>
      <c r="G3262" s="7"/>
      <c r="H3262" s="7"/>
      <c r="I3262" s="7"/>
      <c r="J3262" s="5"/>
      <c r="K3262" s="5"/>
      <c r="L3262" s="5"/>
      <c r="M3262" s="5"/>
      <c r="N3262" s="5"/>
      <c r="O3262" s="5"/>
      <c r="P3262" s="5"/>
      <c r="Q3262" s="5"/>
      <c r="R3262" s="5"/>
      <c r="S3262" s="5"/>
      <c r="T3262" s="5"/>
      <c r="U3262" s="5"/>
      <c r="V3262" s="5"/>
      <c r="W3262" s="5"/>
      <c r="X3262" s="5"/>
      <c r="Y3262" s="5"/>
      <c r="Z3262" s="5"/>
    </row>
    <row r="3263" spans="1:26" ht="15.6" x14ac:dyDescent="0.3">
      <c r="A3263" s="18" t="s">
        <v>8</v>
      </c>
      <c r="B3263" s="24" t="s">
        <v>3252</v>
      </c>
      <c r="C3263" s="2" t="str">
        <f ca="1">IFERROR(__xludf.DUMMYFUNCTION("GOOGLETRANSLATE(B3263, ""bn"", ""en"")"),"On May 10, 2023, the Shivlinga was attacked and thrown into the nearby canal in Jagannathpur, Sunamganj.")</f>
        <v>On May 10, 2023, the Shivlinga was attacked and thrown into the nearby canal in Jagannathpur, Sunamganj.</v>
      </c>
      <c r="D3263" s="5"/>
      <c r="E3263" s="5"/>
      <c r="F3263" s="5"/>
      <c r="G3263" s="5"/>
      <c r="H3263" s="5"/>
      <c r="I3263" s="5"/>
      <c r="J3263" s="5"/>
      <c r="K3263" s="5"/>
      <c r="L3263" s="5"/>
      <c r="M3263" s="5"/>
      <c r="N3263" s="5"/>
      <c r="O3263" s="5"/>
      <c r="P3263" s="5"/>
      <c r="Q3263" s="5"/>
      <c r="R3263" s="5"/>
      <c r="S3263" s="5"/>
      <c r="T3263" s="5"/>
      <c r="U3263" s="5"/>
      <c r="V3263" s="5"/>
      <c r="W3263" s="5"/>
      <c r="X3263" s="5"/>
      <c r="Y3263" s="5"/>
      <c r="Z3263" s="5"/>
    </row>
    <row r="3264" spans="1:26" ht="15.6" x14ac:dyDescent="0.3">
      <c r="A3264" s="18" t="s">
        <v>3</v>
      </c>
      <c r="B3264" s="25" t="s">
        <v>3253</v>
      </c>
      <c r="C3264" s="2" t="str">
        <f ca="1">IFERROR(__xludf.DUMMYFUNCTION("GOOGLETRANSLATE(B3264, ""bn"", ""en"")"),"Our national poet Kazi Nazrul Islam said, ""If your heart does not cry at the insult of the Messenger, you are not a Muslim, you are a hypocrite, you are an enemy of the Messenger."" The hearts of billions of Muslims in this country are bleeding. His reac"&amp;"tion is seen in society and through social media.")</f>
        <v>Our national poet Kazi Nazrul Islam said, "If your heart does not cry at the insult of the Messenger, you are not a Muslim, you are a hypocrite, you are an enemy of the Messenger." The hearts of billions of Muslims in this country are bleeding. His reaction is seen in society and through social media.</v>
      </c>
      <c r="D3264" s="5"/>
      <c r="E3264" s="5"/>
      <c r="F3264" s="5"/>
      <c r="G3264" s="5"/>
      <c r="H3264" s="5"/>
      <c r="I3264" s="5"/>
      <c r="J3264" s="5"/>
      <c r="K3264" s="5"/>
      <c r="L3264" s="5"/>
      <c r="M3264" s="5"/>
      <c r="N3264" s="5"/>
      <c r="O3264" s="5"/>
      <c r="P3264" s="5"/>
      <c r="Q3264" s="5"/>
      <c r="R3264" s="5"/>
      <c r="S3264" s="5"/>
      <c r="T3264" s="5"/>
      <c r="U3264" s="5"/>
      <c r="V3264" s="5"/>
      <c r="W3264" s="5"/>
      <c r="X3264" s="5"/>
      <c r="Y3264" s="5"/>
      <c r="Z3264" s="5"/>
    </row>
    <row r="3265" spans="1:26" ht="15.6" x14ac:dyDescent="0.3">
      <c r="A3265" s="18" t="s">
        <v>23</v>
      </c>
      <c r="B3265" s="25" t="s">
        <v>3254</v>
      </c>
      <c r="C3265" s="2" t="str">
        <f ca="1">IFERROR(__xludf.DUMMYFUNCTION("GOOGLETRANSLATE(B3265, ""bn"", ""en"")"),"Jews do not consider Muhammad (pbuh), the preacher of Islam, as a prophet. He is considered a false prophet which causes a lot of trouble to Muslims. Jews consider Islam to be the religion of the Arabs.")</f>
        <v>Jews do not consider Muhammad (pbuh), the preacher of Islam, as a prophet. He is considered a false prophet which causes a lot of trouble to Muslims. Jews consider Islam to be the religion of the Arabs.</v>
      </c>
      <c r="D3265" s="2"/>
      <c r="E3265" s="2"/>
      <c r="F3265" s="2"/>
      <c r="G3265" s="2"/>
      <c r="H3265" s="5"/>
      <c r="I3265" s="5"/>
      <c r="J3265" s="5"/>
      <c r="K3265" s="5"/>
      <c r="L3265" s="5"/>
      <c r="M3265" s="5"/>
      <c r="N3265" s="5"/>
      <c r="O3265" s="5"/>
      <c r="P3265" s="5"/>
      <c r="Q3265" s="5"/>
      <c r="R3265" s="5"/>
      <c r="S3265" s="5"/>
      <c r="T3265" s="5"/>
      <c r="U3265" s="5"/>
      <c r="V3265" s="5"/>
      <c r="W3265" s="5"/>
      <c r="X3265" s="5"/>
      <c r="Y3265" s="5"/>
      <c r="Z3265" s="5"/>
    </row>
    <row r="3266" spans="1:26" ht="15.6" x14ac:dyDescent="0.3">
      <c r="A3266" s="18" t="s">
        <v>3</v>
      </c>
      <c r="B3266" s="25" t="s">
        <v>3255</v>
      </c>
      <c r="C3266" s="2" t="str">
        <f ca="1">IFERROR(__xludf.DUMMYFUNCTION("GOOGLETRANSLATE(B3266, ""bn"", ""en"")"),"God's light has come, the darkness of lies has gone. Truth endures forever, lies perish. It is in this belief that we seek peace.")</f>
        <v>God's light has come, the darkness of lies has gone. Truth endures forever, lies perish. It is in this belief that we seek peace.</v>
      </c>
      <c r="D3266" s="5"/>
      <c r="E3266" s="5"/>
      <c r="F3266" s="5"/>
      <c r="G3266" s="5"/>
      <c r="H3266" s="5"/>
      <c r="I3266" s="5"/>
      <c r="J3266" s="5"/>
      <c r="K3266" s="5"/>
      <c r="L3266" s="5"/>
      <c r="M3266" s="5"/>
      <c r="N3266" s="5"/>
      <c r="O3266" s="5"/>
      <c r="P3266" s="5"/>
      <c r="Q3266" s="5"/>
      <c r="R3266" s="5"/>
      <c r="S3266" s="5"/>
      <c r="T3266" s="5"/>
      <c r="U3266" s="5"/>
      <c r="V3266" s="5"/>
      <c r="W3266" s="5"/>
      <c r="X3266" s="5"/>
      <c r="Y3266" s="5"/>
      <c r="Z3266" s="5"/>
    </row>
    <row r="3267" spans="1:26" ht="15.6" x14ac:dyDescent="0.3">
      <c r="A3267" s="18" t="s">
        <v>8</v>
      </c>
      <c r="B3267" s="25" t="s">
        <v>3256</v>
      </c>
      <c r="C3267" s="2" t="str">
        <f ca="1">IFERROR(__xludf.DUMMYFUNCTION("GOOGLETRANSLATE(B3267, ""bn"", ""en"")"),"After the demolition of the Babri Masjid in 1992, communal tensions also increased in Bangladesh.")</f>
        <v>After the demolition of the Babri Masjid in 1992, communal tensions also increased in Bangladesh.</v>
      </c>
      <c r="D3267" s="2"/>
      <c r="E3267" s="2"/>
      <c r="F3267" s="2"/>
      <c r="G3267" s="2"/>
      <c r="H3267" s="3"/>
      <c r="I3267" s="3"/>
      <c r="J3267" s="3"/>
      <c r="K3267" s="3"/>
      <c r="L3267" s="3"/>
      <c r="M3267" s="3"/>
      <c r="N3267" s="3"/>
      <c r="O3267" s="3"/>
      <c r="P3267" s="3"/>
      <c r="Q3267" s="3"/>
      <c r="R3267" s="3"/>
      <c r="S3267" s="3"/>
      <c r="T3267" s="3"/>
      <c r="U3267" s="3"/>
      <c r="V3267" s="3"/>
      <c r="W3267" s="3"/>
      <c r="X3267" s="3"/>
      <c r="Y3267" s="3"/>
      <c r="Z3267" s="3"/>
    </row>
    <row r="3268" spans="1:26" ht="15.6" x14ac:dyDescent="0.3">
      <c r="A3268" s="18" t="s">
        <v>5</v>
      </c>
      <c r="B3268" s="25" t="s">
        <v>3257</v>
      </c>
      <c r="C3268" s="2" t="str">
        <f ca="1">IFERROR(__xludf.DUMMYFUNCTION("GOOGLETRANSLATE(B3268, ""bn"", ""en"")"),"Around 97 Muslims were killed in a concerted attack at Naroda Patiya during the Jhenaidah riots.")</f>
        <v>Around 97 Muslims were killed in a concerted attack at Naroda Patiya during the Jhenaidah riots.</v>
      </c>
      <c r="D3268" s="2"/>
      <c r="E3268" s="2"/>
      <c r="F3268" s="2"/>
      <c r="G3268" s="2"/>
      <c r="H3268" s="5"/>
      <c r="I3268" s="5"/>
      <c r="J3268" s="5"/>
      <c r="K3268" s="5"/>
      <c r="L3268" s="5"/>
      <c r="M3268" s="5"/>
      <c r="N3268" s="5"/>
      <c r="O3268" s="5"/>
      <c r="P3268" s="5"/>
      <c r="Q3268" s="5"/>
      <c r="R3268" s="5"/>
      <c r="S3268" s="5"/>
      <c r="T3268" s="5"/>
      <c r="U3268" s="5"/>
      <c r="V3268" s="5"/>
      <c r="W3268" s="5"/>
      <c r="X3268" s="5"/>
      <c r="Y3268" s="5"/>
      <c r="Z3268" s="5"/>
    </row>
    <row r="3269" spans="1:26" ht="15.6" x14ac:dyDescent="0.3">
      <c r="A3269" s="18" t="s">
        <v>5</v>
      </c>
      <c r="B3269" s="24" t="s">
        <v>3258</v>
      </c>
      <c r="C3269" s="2" t="str">
        <f ca="1">IFERROR(__xludf.DUMMYFUNCTION("GOOGLETRANSLATE(B3269, ""bn"", ""en"")"),"42 people lost their lives in religious riots in Rangpur. As the police tried to control the situation, the government called for peace and a sense of religious responsibility. Many families seek shelter for safety.")</f>
        <v>42 people lost their lives in religious riots in Rangpur. As the police tried to control the situation, the government called for peace and a sense of religious responsibility. Many families seek shelter for safety.</v>
      </c>
      <c r="D3269" s="5"/>
      <c r="E3269" s="5"/>
      <c r="F3269" s="5"/>
      <c r="G3269" s="5"/>
      <c r="H3269" s="5"/>
      <c r="I3269" s="5"/>
      <c r="J3269" s="5"/>
      <c r="K3269" s="5"/>
      <c r="L3269" s="5"/>
      <c r="M3269" s="5"/>
      <c r="N3269" s="5"/>
      <c r="O3269" s="5"/>
      <c r="P3269" s="5"/>
      <c r="Q3269" s="5"/>
      <c r="R3269" s="5"/>
      <c r="S3269" s="5"/>
      <c r="T3269" s="5"/>
      <c r="U3269" s="5"/>
      <c r="V3269" s="5"/>
      <c r="W3269" s="5"/>
      <c r="X3269" s="5"/>
      <c r="Y3269" s="5"/>
      <c r="Z3269" s="5"/>
    </row>
    <row r="3270" spans="1:26" ht="15.6" x14ac:dyDescent="0.3">
      <c r="A3270" s="18" t="s">
        <v>5</v>
      </c>
      <c r="B3270" s="24" t="s">
        <v>3259</v>
      </c>
      <c r="C3270" s="2" t="str">
        <f ca="1">IFERROR(__xludf.DUMMYFUNCTION("GOOGLETRANSLATE(B3270, ""bn"", ""en"")"),"41 people were killed in clashes between religious groups in Panchagarh. Police failed to quell the violence, the government ordered calm. Many families left the village for security reasons.")</f>
        <v>41 people were killed in clashes between religious groups in Panchagarh. Police failed to quell the violence, the government ordered calm. Many families left the village for security reasons.</v>
      </c>
      <c r="D3270" s="5"/>
      <c r="E3270" s="5"/>
      <c r="F3270" s="5"/>
      <c r="G3270" s="5"/>
      <c r="H3270" s="5"/>
      <c r="I3270" s="5"/>
      <c r="J3270" s="5"/>
      <c r="K3270" s="5"/>
      <c r="L3270" s="5"/>
      <c r="M3270" s="5"/>
      <c r="N3270" s="5"/>
      <c r="O3270" s="5"/>
      <c r="P3270" s="5"/>
      <c r="Q3270" s="5"/>
      <c r="R3270" s="5"/>
      <c r="S3270" s="5"/>
      <c r="T3270" s="5"/>
      <c r="U3270" s="5"/>
      <c r="V3270" s="5"/>
      <c r="W3270" s="5"/>
      <c r="X3270" s="5"/>
      <c r="Y3270" s="5"/>
      <c r="Z3270" s="5"/>
    </row>
    <row r="3271" spans="1:26" ht="15.6" x14ac:dyDescent="0.3">
      <c r="A3271" s="18" t="s">
        <v>23</v>
      </c>
      <c r="B3271" s="25" t="s">
        <v>3260</v>
      </c>
      <c r="C3271" s="2" t="str">
        <f ca="1">IFERROR(__xludf.DUMMYFUNCTION("GOOGLETRANSLATE(B3271, ""bn"", ""en"")"),"We do not disrespect anyone or any religion but why my religion is being disrespected again and again, I strongly condemn it, O Allah, destroy those who have disrespected my religion like those who disrespected my religion in the past.")</f>
        <v>We do not disrespect anyone or any religion but why my religion is being disrespected again and again, I strongly condemn it, O Allah, destroy those who have disrespected my religion like those who disrespected my religion in the past.</v>
      </c>
      <c r="D3271" s="7"/>
      <c r="E3271" s="7"/>
      <c r="F3271" s="7"/>
      <c r="G3271" s="7"/>
      <c r="H3271" s="7"/>
      <c r="I3271" s="7"/>
      <c r="J3271" s="7"/>
      <c r="K3271" s="7"/>
      <c r="L3271" s="7"/>
      <c r="M3271" s="7"/>
      <c r="N3271" s="7"/>
      <c r="O3271" s="7"/>
      <c r="P3271" s="7"/>
      <c r="Q3271" s="7"/>
      <c r="R3271" s="7"/>
      <c r="S3271" s="7"/>
      <c r="T3271" s="7"/>
      <c r="U3271" s="7"/>
      <c r="V3271" s="5"/>
      <c r="W3271" s="5"/>
      <c r="X3271" s="5"/>
      <c r="Y3271" s="5"/>
      <c r="Z3271" s="5"/>
    </row>
    <row r="3272" spans="1:26" ht="15.6" x14ac:dyDescent="0.3">
      <c r="A3272" s="18" t="s">
        <v>8</v>
      </c>
      <c r="B3272" s="25" t="s">
        <v>3261</v>
      </c>
      <c r="C3272" s="2" t="str">
        <f ca="1">IFERROR(__xludf.DUMMYFUNCTION("GOOGLETRANSLATE(B3272, ""bn"", ""en"")"),"On July 28 last month, on Eid-ul-Azha, a man named Salman Momiko set fire to the Koran outside Stockholm's central mosque.")</f>
        <v>On July 28 last month, on Eid-ul-Azha, a man named Salman Momiko set fire to the Koran outside Stockholm's central mosque.</v>
      </c>
      <c r="D3272" s="5"/>
      <c r="E3272" s="5"/>
      <c r="F3272" s="5"/>
      <c r="G3272" s="5"/>
      <c r="H3272" s="5"/>
      <c r="I3272" s="5"/>
      <c r="J3272" s="5"/>
      <c r="K3272" s="5"/>
      <c r="L3272" s="5"/>
      <c r="M3272" s="5"/>
      <c r="N3272" s="5"/>
      <c r="O3272" s="5"/>
      <c r="P3272" s="5"/>
      <c r="Q3272" s="5"/>
      <c r="R3272" s="5"/>
      <c r="S3272" s="5"/>
      <c r="T3272" s="5"/>
      <c r="U3272" s="5"/>
      <c r="V3272" s="5"/>
      <c r="W3272" s="5"/>
      <c r="X3272" s="5"/>
      <c r="Y3272" s="5"/>
      <c r="Z3272" s="5"/>
    </row>
    <row r="3273" spans="1:26" ht="15.6" x14ac:dyDescent="0.3">
      <c r="A3273" s="18" t="s">
        <v>23</v>
      </c>
      <c r="B3273" s="25" t="s">
        <v>3262</v>
      </c>
      <c r="C3273" s="2" t="str">
        <f ca="1">IFERROR(__xludf.DUMMYFUNCTION("GOOGLETRANSLATE(B3273, ""bn"", ""en"")"),"This is a sign of Dajjal's temptation. Dajjal will also win the hearts of some people by giving them bread and sustenance and will make them lose their faith.")</f>
        <v>This is a sign of Dajjal's temptation. Dajjal will also win the hearts of some people by giving them bread and sustenance and will make them lose their faith.</v>
      </c>
      <c r="D3273" s="5"/>
      <c r="E3273" s="5"/>
      <c r="F3273" s="5"/>
      <c r="G3273" s="5"/>
      <c r="H3273" s="5"/>
      <c r="I3273" s="5"/>
      <c r="J3273" s="5"/>
      <c r="K3273" s="5"/>
      <c r="L3273" s="5"/>
      <c r="M3273" s="5"/>
      <c r="N3273" s="5"/>
      <c r="O3273" s="5"/>
      <c r="P3273" s="5"/>
      <c r="Q3273" s="5"/>
      <c r="R3273" s="5"/>
      <c r="S3273" s="5"/>
      <c r="T3273" s="5"/>
      <c r="U3273" s="5"/>
      <c r="V3273" s="5"/>
      <c r="W3273" s="5"/>
      <c r="X3273" s="5"/>
      <c r="Y3273" s="5"/>
      <c r="Z3273" s="5"/>
    </row>
    <row r="3274" spans="1:26" ht="15.6" x14ac:dyDescent="0.3">
      <c r="A3274" s="18" t="s">
        <v>5</v>
      </c>
      <c r="B3274" s="24" t="s">
        <v>3263</v>
      </c>
      <c r="C3274" s="2" t="str">
        <f ca="1">IFERROR(__xludf.DUMMYFUNCTION("GOOGLETRANSLATE(B3274, ""bn"", ""en"")"),"One religious community destroys graveyards of another community, disposing of dead bodies and spreading hatred in religious sects; 21 people were killed in the clash.")</f>
        <v>One religious community destroys graveyards of another community, disposing of dead bodies and spreading hatred in religious sects; 21 people were killed in the clash.</v>
      </c>
      <c r="D3274" s="5"/>
      <c r="E3274" s="5"/>
      <c r="F3274" s="5"/>
      <c r="G3274" s="5"/>
      <c r="H3274" s="5"/>
      <c r="I3274" s="5"/>
      <c r="J3274" s="5"/>
      <c r="K3274" s="5"/>
      <c r="L3274" s="5"/>
      <c r="M3274" s="5"/>
      <c r="N3274" s="5"/>
      <c r="O3274" s="5"/>
      <c r="P3274" s="5"/>
      <c r="Q3274" s="5"/>
      <c r="R3274" s="5"/>
      <c r="S3274" s="5"/>
      <c r="T3274" s="5"/>
      <c r="U3274" s="5"/>
      <c r="V3274" s="5"/>
      <c r="W3274" s="5"/>
      <c r="X3274" s="5"/>
      <c r="Y3274" s="5"/>
      <c r="Z3274" s="5"/>
    </row>
    <row r="3275" spans="1:26" ht="15.6" x14ac:dyDescent="0.3">
      <c r="A3275" s="18" t="s">
        <v>8</v>
      </c>
      <c r="B3275" s="25" t="s">
        <v>3264</v>
      </c>
      <c r="C3275" s="2" t="str">
        <f ca="1">IFERROR(__xludf.DUMMYFUNCTION("GOOGLETRANSLATE(B3275, ""bn"", ""en"")"),"Someone tagged a photo of a Buddhist youth named Uttam Barua desecrating the Quran on Facebook. As a result, Buddhist buildings and houses of Buddhists were attacked in Ramu. More than ten Buddhist monasteries and about 25 houses were attacked.")</f>
        <v>Someone tagged a photo of a Buddhist youth named Uttam Barua desecrating the Quran on Facebook. As a result, Buddhist buildings and houses of Buddhists were attacked in Ramu. More than ten Buddhist monasteries and about 25 houses were attacked.</v>
      </c>
      <c r="D3275" s="2"/>
      <c r="E3275" s="2"/>
      <c r="F3275" s="2"/>
      <c r="G3275" s="2"/>
      <c r="H3275" s="3"/>
      <c r="I3275" s="3"/>
      <c r="J3275" s="3"/>
      <c r="K3275" s="3"/>
      <c r="L3275" s="3"/>
      <c r="M3275" s="3"/>
      <c r="N3275" s="3"/>
      <c r="O3275" s="3"/>
      <c r="P3275" s="3"/>
      <c r="Q3275" s="3"/>
      <c r="R3275" s="3"/>
      <c r="S3275" s="3"/>
      <c r="T3275" s="3"/>
      <c r="U3275" s="3"/>
      <c r="V3275" s="3"/>
      <c r="W3275" s="3"/>
      <c r="X3275" s="3"/>
      <c r="Y3275" s="3"/>
      <c r="Z3275" s="3"/>
    </row>
    <row r="3276" spans="1:26" ht="15.6" x14ac:dyDescent="0.3">
      <c r="A3276" s="18" t="s">
        <v>23</v>
      </c>
      <c r="B3276" s="25" t="s">
        <v>3265</v>
      </c>
      <c r="C3276" s="2" t="str">
        <f ca="1">IFERROR(__xludf.DUMMYFUNCTION("GOOGLETRANSLATE(B3276, ""bn"", ""en"")"),"Alas, the bigoted, Muslim Gautam Buddha said that Arya Mia was a Buddhist word and he made Zakir Sahib his own.")</f>
        <v>Alas, the bigoted, Muslim Gautam Buddha said that Arya Mia was a Buddhist word and he made Zakir Sahib his own.</v>
      </c>
      <c r="D3276" s="5"/>
      <c r="E3276" s="5"/>
      <c r="F3276" s="5"/>
      <c r="G3276" s="5"/>
      <c r="H3276" s="5"/>
      <c r="I3276" s="5"/>
      <c r="J3276" s="5"/>
      <c r="K3276" s="5"/>
      <c r="L3276" s="5"/>
      <c r="M3276" s="5"/>
      <c r="N3276" s="5"/>
      <c r="O3276" s="5"/>
      <c r="P3276" s="5"/>
      <c r="Q3276" s="5"/>
      <c r="R3276" s="5"/>
      <c r="S3276" s="5"/>
      <c r="T3276" s="5"/>
      <c r="U3276" s="5"/>
      <c r="V3276" s="5"/>
      <c r="W3276" s="5"/>
      <c r="X3276" s="5"/>
      <c r="Y3276" s="5"/>
      <c r="Z3276" s="5"/>
    </row>
    <row r="3277" spans="1:26" ht="15.6" x14ac:dyDescent="0.3">
      <c r="A3277" s="18" t="s">
        <v>23</v>
      </c>
      <c r="B3277" s="25" t="s">
        <v>3266</v>
      </c>
      <c r="C3277" s="2" t="str">
        <f ca="1">IFERROR(__xludf.DUMMYFUNCTION("GOOGLETRANSLATE(B3277, ""bn"", ""en"")"),"He is not a Hindu, because any religion teaches inhumanity, no. Here he praised Lord Rama, meaning, he insulted Lord Rama, because God is One.")</f>
        <v>He is not a Hindu, because any religion teaches inhumanity, no. Here he praised Lord Rama, meaning, he insulted Lord Rama, because God is One.</v>
      </c>
      <c r="D3277" s="5"/>
      <c r="E3277" s="5"/>
      <c r="F3277" s="5"/>
      <c r="G3277" s="5"/>
      <c r="H3277" s="5"/>
      <c r="I3277" s="5"/>
      <c r="J3277" s="5"/>
      <c r="K3277" s="5"/>
      <c r="L3277" s="5"/>
      <c r="M3277" s="5"/>
      <c r="N3277" s="5"/>
      <c r="O3277" s="5"/>
      <c r="P3277" s="5"/>
      <c r="Q3277" s="5"/>
      <c r="R3277" s="5"/>
      <c r="S3277" s="5"/>
      <c r="T3277" s="5"/>
      <c r="U3277" s="5"/>
      <c r="V3277" s="5"/>
      <c r="W3277" s="5"/>
      <c r="X3277" s="5"/>
      <c r="Y3277" s="5"/>
      <c r="Z3277" s="5"/>
    </row>
    <row r="3278" spans="1:26" ht="15.6" x14ac:dyDescent="0.3">
      <c r="A3278" s="18" t="s">
        <v>8</v>
      </c>
      <c r="B3278" s="25" t="s">
        <v>3267</v>
      </c>
      <c r="C3278" s="2" t="str">
        <f ca="1">IFERROR(__xludf.DUMMYFUNCTION("GOOGLETRANSLATE(B3278, ""bn"", ""en"")"),"10 idols of 3 temples vandalized in Alfadanga in one night, human chain in protest")</f>
        <v>10 idols of 3 temples vandalized in Alfadanga in one night, human chain in protest</v>
      </c>
      <c r="D3278" s="7"/>
      <c r="E3278" s="7"/>
      <c r="F3278" s="7"/>
      <c r="G3278" s="7"/>
      <c r="H3278" s="7"/>
      <c r="I3278" s="7"/>
      <c r="J3278" s="7"/>
      <c r="K3278" s="7"/>
      <c r="L3278" s="7"/>
      <c r="M3278" s="7"/>
      <c r="N3278" s="7"/>
      <c r="O3278" s="7"/>
      <c r="P3278" s="7"/>
      <c r="Q3278" s="7"/>
      <c r="R3278" s="5"/>
      <c r="S3278" s="5"/>
      <c r="T3278" s="5"/>
      <c r="U3278" s="5"/>
      <c r="V3278" s="5"/>
      <c r="W3278" s="5"/>
      <c r="X3278" s="5"/>
      <c r="Y3278" s="5"/>
      <c r="Z3278" s="5"/>
    </row>
    <row r="3279" spans="1:26" ht="15.6" x14ac:dyDescent="0.3">
      <c r="A3279" s="19" t="s">
        <v>3</v>
      </c>
      <c r="B3279" s="26" t="s">
        <v>3268</v>
      </c>
      <c r="C3279" s="2" t="str">
        <f ca="1">IFERROR(__xludf.DUMMYFUNCTION("GOOGLETRANSLATE(B3279, ""bn"", ""en"")"),"If we were to consciously post about abstaining from bribery, usury and evil deeds like iftar or namaz, there would be a positive impact on the society.")</f>
        <v>If we were to consciously post about abstaining from bribery, usury and evil deeds like iftar or namaz, there would be a positive impact on the society.</v>
      </c>
      <c r="D3279" s="7"/>
      <c r="E3279" s="7"/>
      <c r="F3279" s="7"/>
      <c r="G3279" s="7"/>
      <c r="H3279" s="7"/>
      <c r="I3279" s="7"/>
      <c r="J3279" s="5"/>
      <c r="K3279" s="5"/>
      <c r="L3279" s="5"/>
      <c r="M3279" s="5"/>
      <c r="N3279" s="5"/>
      <c r="O3279" s="5"/>
      <c r="P3279" s="5"/>
      <c r="Q3279" s="5"/>
      <c r="R3279" s="5"/>
      <c r="S3279" s="5"/>
      <c r="T3279" s="5"/>
      <c r="U3279" s="5"/>
      <c r="V3279" s="5"/>
      <c r="W3279" s="5"/>
      <c r="X3279" s="5"/>
      <c r="Y3279" s="5"/>
      <c r="Z3279" s="5"/>
    </row>
    <row r="3280" spans="1:26" ht="15.6" x14ac:dyDescent="0.3">
      <c r="A3280" s="19" t="s">
        <v>5</v>
      </c>
      <c r="B3280" s="26" t="s">
        <v>3269</v>
      </c>
      <c r="C3280" s="2" t="str">
        <f ca="1">IFERROR(__xludf.DUMMYFUNCTION("GOOGLETRANSLATE(B3280, ""bn"", ""en"")"),"According to the statement, the soldiers were attacked while suppressing violence in a local community in the southern Delta state of Nigeria. Some youths involved in communal violence in that state surrounded the army personnel and attacked them.")</f>
        <v>According to the statement, the soldiers were attacked while suppressing violence in a local community in the southern Delta state of Nigeria. Some youths involved in communal violence in that state surrounded the army personnel and attacked them.</v>
      </c>
      <c r="D3280" s="7"/>
      <c r="E3280" s="7"/>
      <c r="F3280" s="7"/>
      <c r="G3280" s="5"/>
      <c r="H3280" s="5"/>
      <c r="I3280" s="5"/>
      <c r="J3280" s="5"/>
      <c r="K3280" s="5"/>
      <c r="L3280" s="5"/>
      <c r="M3280" s="5"/>
      <c r="N3280" s="5"/>
      <c r="O3280" s="5"/>
      <c r="P3280" s="5"/>
      <c r="Q3280" s="5"/>
      <c r="R3280" s="5"/>
      <c r="S3280" s="5"/>
      <c r="T3280" s="5"/>
      <c r="U3280" s="5"/>
      <c r="V3280" s="5"/>
      <c r="W3280" s="5"/>
      <c r="X3280" s="5"/>
      <c r="Y3280" s="5"/>
      <c r="Z3280" s="5"/>
    </row>
    <row r="3281" spans="1:26" ht="15.6" x14ac:dyDescent="0.3">
      <c r="A3281" s="18" t="s">
        <v>3</v>
      </c>
      <c r="B3281" s="25" t="s">
        <v>3270</v>
      </c>
      <c r="C3281" s="2" t="str">
        <f ca="1">IFERROR(__xludf.DUMMYFUNCTION("GOOGLETRANSLATE(B3281, ""bn"", ""en"")"),"In fact, the sufferings of the worldly life are very insignificant compared to the long-term severe punishment of the afterlife.")</f>
        <v>In fact, the sufferings of the worldly life are very insignificant compared to the long-term severe punishment of the afterlife.</v>
      </c>
      <c r="D3281" s="5"/>
      <c r="E3281" s="5"/>
      <c r="F3281" s="5"/>
      <c r="G3281" s="5"/>
      <c r="H3281" s="5"/>
      <c r="I3281" s="5"/>
      <c r="J3281" s="5"/>
      <c r="K3281" s="5"/>
      <c r="L3281" s="5"/>
      <c r="M3281" s="5"/>
      <c r="N3281" s="5"/>
      <c r="O3281" s="5"/>
      <c r="P3281" s="5"/>
      <c r="Q3281" s="5"/>
      <c r="R3281" s="5"/>
      <c r="S3281" s="5"/>
      <c r="T3281" s="5"/>
      <c r="U3281" s="5"/>
      <c r="V3281" s="5"/>
      <c r="W3281" s="5"/>
      <c r="X3281" s="5"/>
      <c r="Y3281" s="5"/>
      <c r="Z3281" s="5"/>
    </row>
    <row r="3282" spans="1:26" ht="15.6" x14ac:dyDescent="0.3">
      <c r="A3282" s="19" t="s">
        <v>8</v>
      </c>
      <c r="B3282" s="26" t="s">
        <v>3271</v>
      </c>
      <c r="C3282" s="2" t="str">
        <f ca="1">IFERROR(__xludf.DUMMYFUNCTION("GOOGLETRANSLATE(B3282, ""bn"", ""en"")"),"O Allah, punish them with an example. You destroy them. You make them understand what the consequences of disrespecting you after you eat. You are enough for us.")</f>
        <v>O Allah, punish them with an example. You destroy them. You make them understand what the consequences of disrespecting you after you eat. You are enough for us.</v>
      </c>
      <c r="D3282" s="5"/>
      <c r="E3282" s="5"/>
      <c r="F3282" s="5"/>
      <c r="G3282" s="5"/>
      <c r="H3282" s="5"/>
      <c r="I3282" s="5"/>
      <c r="J3282" s="5"/>
      <c r="K3282" s="5"/>
      <c r="L3282" s="5"/>
      <c r="M3282" s="5"/>
      <c r="N3282" s="5"/>
      <c r="O3282" s="5"/>
      <c r="P3282" s="5"/>
      <c r="Q3282" s="5"/>
      <c r="R3282" s="5"/>
      <c r="S3282" s="5"/>
      <c r="T3282" s="5"/>
      <c r="U3282" s="5"/>
      <c r="V3282" s="5"/>
      <c r="W3282" s="5"/>
      <c r="X3282" s="5"/>
      <c r="Y3282" s="5"/>
      <c r="Z3282" s="5"/>
    </row>
    <row r="3283" spans="1:26" ht="15.6" x14ac:dyDescent="0.3">
      <c r="A3283" s="19" t="s">
        <v>3</v>
      </c>
      <c r="B3283" s="26" t="s">
        <v>3272</v>
      </c>
      <c r="C3283" s="2" t="str">
        <f ca="1">IFERROR(__xludf.DUMMYFUNCTION("GOOGLETRANSLATE(B3283, ""bn"", ""en"")"),"Referring to Bangladesh as a non-communal state, Prime Minister Sheikh Hasina called on no one to exaggerate religion in this country and said that her government's efforts will continue so that no other child like her younger brother Russell has to be ki"&amp;"lled.")</f>
        <v>Referring to Bangladesh as a non-communal state, Prime Minister Sheikh Hasina called on no one to exaggerate religion in this country and said that her government's efforts will continue so that no other child like her younger brother Russell has to be killed.</v>
      </c>
      <c r="D3283" s="7"/>
      <c r="E3283" s="7"/>
      <c r="F3283" s="7"/>
      <c r="G3283" s="7"/>
      <c r="H3283" s="5"/>
      <c r="I3283" s="5"/>
      <c r="J3283" s="5"/>
      <c r="K3283" s="5"/>
      <c r="L3283" s="5"/>
      <c r="M3283" s="5"/>
      <c r="N3283" s="5"/>
      <c r="O3283" s="5"/>
      <c r="P3283" s="5"/>
      <c r="Q3283" s="5"/>
      <c r="R3283" s="5"/>
      <c r="S3283" s="5"/>
      <c r="T3283" s="5"/>
      <c r="U3283" s="5"/>
      <c r="V3283" s="5"/>
      <c r="W3283" s="5"/>
      <c r="X3283" s="5"/>
      <c r="Y3283" s="5"/>
      <c r="Z3283" s="5"/>
    </row>
    <row r="3284" spans="1:26" ht="15.6" x14ac:dyDescent="0.3">
      <c r="A3284" s="19" t="s">
        <v>8</v>
      </c>
      <c r="B3284" s="26" t="s">
        <v>3273</v>
      </c>
      <c r="C3284" s="2" t="str">
        <f ca="1">IFERROR(__xludf.DUMMYFUNCTION("GOOGLETRANSLATE(B3284, ""bn"", ""en"")"),"Sadly this trend continues; Islamist groups in Bangladesh, nearing the 50th anniversary of the Bengali Hindu genocide, set fire to and vandalized several Hindu temples, including 80 houses.")</f>
        <v>Sadly this trend continues; Islamist groups in Bangladesh, nearing the 50th anniversary of the Bengali Hindu genocide, set fire to and vandalized several Hindu temples, including 80 houses.</v>
      </c>
      <c r="D3284" s="5"/>
      <c r="E3284" s="5"/>
      <c r="F3284" s="5"/>
      <c r="G3284" s="5"/>
      <c r="H3284" s="5"/>
      <c r="I3284" s="5"/>
      <c r="J3284" s="5"/>
      <c r="K3284" s="5"/>
      <c r="L3284" s="5"/>
      <c r="M3284" s="5"/>
      <c r="N3284" s="5"/>
      <c r="O3284" s="5"/>
      <c r="P3284" s="5"/>
      <c r="Q3284" s="5"/>
      <c r="R3284" s="5"/>
      <c r="S3284" s="5"/>
      <c r="T3284" s="5"/>
      <c r="U3284" s="5"/>
      <c r="V3284" s="5"/>
      <c r="W3284" s="5"/>
      <c r="X3284" s="5"/>
      <c r="Y3284" s="5"/>
      <c r="Z3284" s="5"/>
    </row>
    <row r="3285" spans="1:26" ht="15.6" x14ac:dyDescent="0.3">
      <c r="A3285" s="19" t="s">
        <v>23</v>
      </c>
      <c r="B3285" s="26" t="s">
        <v>3274</v>
      </c>
      <c r="C3285" s="2" t="str">
        <f ca="1">IFERROR(__xludf.DUMMYFUNCTION("GOOGLETRANSLATE(B3285, ""bn"", ""en"")"),"I sometimes wonder if it is Muslim-majority Bangladesh, or the place of Muslim misery in neighboring countries!")</f>
        <v>I sometimes wonder if it is Muslim-majority Bangladesh, or the place of Muslim misery in neighboring countries!</v>
      </c>
      <c r="D3285" s="7"/>
      <c r="E3285" s="7"/>
      <c r="F3285" s="7"/>
      <c r="G3285" s="7"/>
      <c r="H3285" s="7"/>
      <c r="I3285" s="5"/>
      <c r="J3285" s="5"/>
      <c r="K3285" s="5"/>
      <c r="L3285" s="5"/>
      <c r="M3285" s="5"/>
      <c r="N3285" s="5"/>
      <c r="O3285" s="5"/>
      <c r="P3285" s="5"/>
      <c r="Q3285" s="5"/>
      <c r="R3285" s="5"/>
      <c r="S3285" s="5"/>
      <c r="T3285" s="5"/>
      <c r="U3285" s="5"/>
      <c r="V3285" s="5"/>
      <c r="W3285" s="5"/>
      <c r="X3285" s="5"/>
      <c r="Y3285" s="5"/>
      <c r="Z3285" s="5"/>
    </row>
    <row r="3286" spans="1:26" ht="15.6" x14ac:dyDescent="0.3">
      <c r="A3286" s="19" t="s">
        <v>3</v>
      </c>
      <c r="B3286" s="26" t="s">
        <v>3275</v>
      </c>
      <c r="C3286" s="2" t="str">
        <f ca="1">IFERROR(__xludf.DUMMYFUNCTION("GOOGLETRANSLATE(B3286, ""bn"", ""en"")"),"This is the document of Allah's Messenger Muhammad for Banu Damara. People of this tribe will get security of their life and property. They will spend their lives peacefully as long as they do not engage in acts of rebellion against the Deen of Allah.")</f>
        <v>This is the document of Allah's Messenger Muhammad for Banu Damara. People of this tribe will get security of their life and property. They will spend their lives peacefully as long as they do not engage in acts of rebellion against the Deen of Allah.</v>
      </c>
      <c r="D3286" s="7"/>
      <c r="E3286" s="5"/>
      <c r="F3286" s="5"/>
      <c r="G3286" s="5"/>
      <c r="H3286" s="5"/>
      <c r="I3286" s="5"/>
      <c r="J3286" s="5"/>
      <c r="K3286" s="5"/>
      <c r="L3286" s="5"/>
      <c r="M3286" s="5"/>
      <c r="N3286" s="5"/>
      <c r="O3286" s="5"/>
      <c r="P3286" s="5"/>
      <c r="Q3286" s="5"/>
      <c r="R3286" s="5"/>
      <c r="S3286" s="5"/>
      <c r="T3286" s="5"/>
      <c r="U3286" s="5"/>
      <c r="V3286" s="5"/>
      <c r="W3286" s="5"/>
      <c r="X3286" s="5"/>
      <c r="Y3286" s="5"/>
      <c r="Z3286" s="5"/>
    </row>
    <row r="3287" spans="1:26" ht="15.6" x14ac:dyDescent="0.3">
      <c r="A3287" s="18" t="s">
        <v>3</v>
      </c>
      <c r="B3287" s="25" t="s">
        <v>3276</v>
      </c>
      <c r="C3287" s="2" t="str">
        <f ca="1">IFERROR(__xludf.DUMMYFUNCTION("GOOGLETRANSLATE(B3287, ""bn"", ""en"")"),"Muslims were able to conquer Bengal so easily because they supported the local Buddhists. As a result, Buddhists came in contact with Muslims and, inspired by Islam, converted to Islam.")</f>
        <v>Muslims were able to conquer Bengal so easily because they supported the local Buddhists. As a result, Buddhists came in contact with Muslims and, inspired by Islam, converted to Islam.</v>
      </c>
      <c r="D3287" s="6"/>
      <c r="E3287" s="6"/>
      <c r="F3287" s="2"/>
      <c r="G3287" s="2"/>
      <c r="H3287" s="5"/>
      <c r="I3287" s="5"/>
      <c r="J3287" s="5"/>
      <c r="K3287" s="5"/>
      <c r="L3287" s="5"/>
      <c r="M3287" s="5"/>
      <c r="N3287" s="5"/>
      <c r="O3287" s="5"/>
      <c r="P3287" s="5"/>
      <c r="Q3287" s="5"/>
      <c r="R3287" s="5"/>
      <c r="S3287" s="5"/>
      <c r="T3287" s="5"/>
      <c r="U3287" s="5"/>
      <c r="V3287" s="5"/>
      <c r="W3287" s="5"/>
      <c r="X3287" s="5"/>
      <c r="Y3287" s="5"/>
      <c r="Z3287" s="5"/>
    </row>
    <row r="3288" spans="1:26" ht="15.6" x14ac:dyDescent="0.3">
      <c r="A3288" s="18" t="s">
        <v>3</v>
      </c>
      <c r="B3288" s="24" t="s">
        <v>3277</v>
      </c>
      <c r="C3288" s="2" t="str">
        <f ca="1">IFERROR(__xludf.DUMMYFUNCTION("GOOGLETRANSLATE(B3288, ""bn"", ""en"")"),"The Holy Bible teaches us that love is the true identity of God.")</f>
        <v>The Holy Bible teaches us that love is the true identity of God.</v>
      </c>
      <c r="D3288" s="5"/>
      <c r="E3288" s="5"/>
      <c r="F3288" s="5"/>
      <c r="G3288" s="5"/>
      <c r="H3288" s="5"/>
      <c r="I3288" s="5"/>
      <c r="J3288" s="5"/>
      <c r="K3288" s="5"/>
      <c r="L3288" s="5"/>
      <c r="M3288" s="5"/>
      <c r="N3288" s="5"/>
      <c r="O3288" s="5"/>
      <c r="P3288" s="5"/>
      <c r="Q3288" s="5"/>
      <c r="R3288" s="5"/>
      <c r="S3288" s="5"/>
      <c r="T3288" s="5"/>
      <c r="U3288" s="5"/>
      <c r="V3288" s="5"/>
      <c r="W3288" s="5"/>
      <c r="X3288" s="5"/>
      <c r="Y3288" s="5"/>
      <c r="Z3288" s="5"/>
    </row>
    <row r="3289" spans="1:26" ht="15.6" x14ac:dyDescent="0.3">
      <c r="A3289" s="18" t="s">
        <v>23</v>
      </c>
      <c r="B3289" s="25" t="s">
        <v>3278</v>
      </c>
      <c r="C3289" s="2" t="str">
        <f ca="1">IFERROR(__xludf.DUMMYFUNCTION("GOOGLETRANSLATE(B3289, ""bn"", ""en"")"),"A sick generation is being created day by day. They post fun about Seheri, take pictures of Seheri and post on Facebook first, post Iftar first on Facebook.")</f>
        <v>A sick generation is being created day by day. They post fun about Seheri, take pictures of Seheri and post on Facebook first, post Iftar first on Facebook.</v>
      </c>
      <c r="D3289" s="2"/>
      <c r="E3289" s="2"/>
      <c r="F3289" s="2"/>
      <c r="G3289" s="2"/>
      <c r="H3289" s="3"/>
      <c r="I3289" s="3"/>
      <c r="J3289" s="3"/>
      <c r="K3289" s="3"/>
      <c r="L3289" s="3"/>
      <c r="M3289" s="3"/>
      <c r="N3289" s="3"/>
      <c r="O3289" s="3"/>
      <c r="P3289" s="3"/>
      <c r="Q3289" s="3"/>
      <c r="R3289" s="3"/>
      <c r="S3289" s="3"/>
      <c r="T3289" s="3"/>
      <c r="U3289" s="3"/>
      <c r="V3289" s="3"/>
      <c r="W3289" s="3"/>
      <c r="X3289" s="3"/>
      <c r="Y3289" s="3"/>
      <c r="Z3289" s="3"/>
    </row>
    <row r="3290" spans="1:26" ht="15.6" x14ac:dyDescent="0.3">
      <c r="A3290" s="18" t="s">
        <v>5</v>
      </c>
      <c r="B3290" s="25" t="s">
        <v>3279</v>
      </c>
      <c r="C3290" s="2" t="str">
        <f ca="1">IFERROR(__xludf.DUMMYFUNCTION("GOOGLETRANSLATE(B3290, ""bn"", ""en"")"),"An organization called Jatiya Hindu Mahajot has claimed that this year has seen the most persecution of minorities in the last five years. In a press conference, the organization said that 40,703 incidents including murder, assault, land grabbing, abducti"&amp;"on, conversion, rape, eviction, forced emigration took place this year.")</f>
        <v>An organization called Jatiya Hindu Mahajot has claimed that this year has seen the most persecution of minorities in the last five years. In a press conference, the organization said that 40,703 incidents including murder, assault, land grabbing, abduction, conversion, rape, eviction, forced emigration took place this year.</v>
      </c>
      <c r="D3290" s="5"/>
      <c r="E3290" s="5"/>
      <c r="F3290" s="5"/>
      <c r="G3290" s="5"/>
      <c r="H3290" s="5"/>
      <c r="I3290" s="5"/>
      <c r="J3290" s="5"/>
      <c r="K3290" s="5"/>
      <c r="L3290" s="5"/>
      <c r="M3290" s="5"/>
      <c r="N3290" s="5"/>
      <c r="O3290" s="5"/>
      <c r="P3290" s="5"/>
      <c r="Q3290" s="5"/>
      <c r="R3290" s="5"/>
      <c r="S3290" s="5"/>
      <c r="T3290" s="5"/>
      <c r="U3290" s="5"/>
      <c r="V3290" s="5"/>
      <c r="W3290" s="5"/>
      <c r="X3290" s="5"/>
      <c r="Y3290" s="5"/>
      <c r="Z3290" s="5"/>
    </row>
    <row r="3291" spans="1:26" ht="15.6" x14ac:dyDescent="0.3">
      <c r="A3291" s="19" t="s">
        <v>8</v>
      </c>
      <c r="B3291" s="26" t="s">
        <v>3280</v>
      </c>
      <c r="C3291" s="2" t="str">
        <f ca="1">IFERROR(__xludf.DUMMYFUNCTION("GOOGLETRANSLATE(B3291, ""bn"", ""en"")"),"If compared to killing Muslims, it would be like comparing a mouse to a mountain. And if the reaction of our media in these two incidents is compared, then it will be a comparison of Mushik and Parbat. Our media, cold and indifferent to Muslims, no longer"&amp;" commands respect when it becomes hypersensitive to minorities. This seasonal sensation also in many cases crosses the line of hypocrisy and flattery.")</f>
        <v>If compared to killing Muslims, it would be like comparing a mouse to a mountain. And if the reaction of our media in these two incidents is compared, then it will be a comparison of Mushik and Parbat. Our media, cold and indifferent to Muslims, no longer commands respect when it becomes hypersensitive to minorities. This seasonal sensation also in many cases crosses the line of hypocrisy and flattery.</v>
      </c>
      <c r="D3291" s="7"/>
      <c r="E3291" s="7"/>
      <c r="F3291" s="7"/>
      <c r="G3291" s="7"/>
      <c r="H3291" s="7"/>
      <c r="I3291" s="7"/>
      <c r="J3291" s="7"/>
      <c r="K3291" s="7"/>
      <c r="L3291" s="7"/>
      <c r="M3291" s="7"/>
      <c r="N3291" s="7"/>
      <c r="O3291" s="7"/>
      <c r="P3291" s="7"/>
      <c r="Q3291" s="7"/>
      <c r="R3291" s="7"/>
      <c r="S3291" s="7"/>
      <c r="T3291" s="7"/>
      <c r="U3291" s="7"/>
      <c r="V3291" s="7"/>
      <c r="W3291" s="7"/>
      <c r="X3291" s="7"/>
      <c r="Y3291" s="7"/>
      <c r="Z3291" s="7"/>
    </row>
    <row r="3292" spans="1:26" ht="15.6" x14ac:dyDescent="0.3">
      <c r="A3292" s="18" t="s">
        <v>3</v>
      </c>
      <c r="B3292" s="25" t="s">
        <v>3281</v>
      </c>
      <c r="C3292" s="2" t="str">
        <f ca="1">IFERROR(__xludf.DUMMYFUNCTION("GOOGLETRANSLATE(B3292, ""bn"", ""en"")"),"What will be the rules for praying in mosques for Muslims in this time of coronavirus, what does Islam say about praying in congregation in this situation?")</f>
        <v>What will be the rules for praying in mosques for Muslims in this time of coronavirus, what does Islam say about praying in congregation in this situation?</v>
      </c>
      <c r="D3292" s="5"/>
      <c r="E3292" s="5"/>
      <c r="F3292" s="5"/>
      <c r="G3292" s="5"/>
      <c r="H3292" s="5"/>
      <c r="I3292" s="5"/>
      <c r="J3292" s="5"/>
      <c r="K3292" s="5"/>
      <c r="L3292" s="5"/>
      <c r="M3292" s="5"/>
      <c r="N3292" s="5"/>
      <c r="O3292" s="5"/>
      <c r="P3292" s="5"/>
      <c r="Q3292" s="5"/>
      <c r="R3292" s="5"/>
      <c r="S3292" s="5"/>
      <c r="T3292" s="5"/>
      <c r="U3292" s="5"/>
      <c r="V3292" s="5"/>
      <c r="W3292" s="5"/>
      <c r="X3292" s="5"/>
      <c r="Y3292" s="5"/>
      <c r="Z3292" s="5"/>
    </row>
    <row r="3293" spans="1:26" ht="15.6" x14ac:dyDescent="0.3">
      <c r="A3293" s="19" t="s">
        <v>23</v>
      </c>
      <c r="B3293" s="26" t="s">
        <v>3282</v>
      </c>
      <c r="C3293" s="2" t="str">
        <f ca="1">IFERROR(__xludf.DUMMYFUNCTION("GOOGLETRANSLATE(B3293, ""bn"", ""en"")"),"Brahma Harita declares that entering a Buddhist temple is a sin, which can only be absolved by ritual bathing. Even in dramas or puthis written for the general public, Brahmin priests spread hatred against the Buddha.")</f>
        <v>Brahma Harita declares that entering a Buddhist temple is a sin, which can only be absolved by ritual bathing. Even in dramas or puthis written for the general public, Brahmin priests spread hatred against the Buddha.</v>
      </c>
      <c r="D3293" s="5"/>
      <c r="E3293" s="5"/>
      <c r="F3293" s="5"/>
      <c r="G3293" s="5"/>
      <c r="H3293" s="5"/>
      <c r="I3293" s="5"/>
      <c r="J3293" s="5"/>
      <c r="K3293" s="5"/>
      <c r="L3293" s="5"/>
      <c r="M3293" s="5"/>
      <c r="N3293" s="5"/>
      <c r="O3293" s="5"/>
      <c r="P3293" s="5"/>
      <c r="Q3293" s="5"/>
      <c r="R3293" s="5"/>
      <c r="S3293" s="5"/>
      <c r="T3293" s="5"/>
      <c r="U3293" s="5"/>
      <c r="V3293" s="5"/>
      <c r="W3293" s="5"/>
      <c r="X3293" s="5"/>
      <c r="Y3293" s="5"/>
      <c r="Z3293" s="5"/>
    </row>
    <row r="3294" spans="1:26" ht="15.6" x14ac:dyDescent="0.3">
      <c r="A3294" s="18" t="s">
        <v>8</v>
      </c>
      <c r="B3294" s="25" t="s">
        <v>3283</v>
      </c>
      <c r="C3294" s="2" t="str">
        <f ca="1">IFERROR(__xludf.DUMMYFUNCTION("GOOGLETRANSLATE(B3294, ""bn"", ""en"")"),"In preparation for Durga Puja, the Puja Celebrations Parishad has expressed concern that idols have been vandalized in 13 temples in 11 districts.")</f>
        <v>In preparation for Durga Puja, the Puja Celebrations Parishad has expressed concern that idols have been vandalized in 13 temples in 11 districts.</v>
      </c>
      <c r="D3294" s="2"/>
      <c r="E3294" s="2"/>
      <c r="F3294" s="2"/>
      <c r="G3294" s="2"/>
      <c r="H3294" s="3"/>
      <c r="I3294" s="3"/>
      <c r="J3294" s="3"/>
      <c r="K3294" s="3"/>
      <c r="L3294" s="3"/>
      <c r="M3294" s="3"/>
      <c r="N3294" s="3"/>
      <c r="O3294" s="3"/>
      <c r="P3294" s="3"/>
      <c r="Q3294" s="3"/>
      <c r="R3294" s="3"/>
      <c r="S3294" s="3"/>
      <c r="T3294" s="3"/>
      <c r="U3294" s="3"/>
      <c r="V3294" s="3"/>
      <c r="W3294" s="3"/>
      <c r="X3294" s="3"/>
      <c r="Y3294" s="3"/>
      <c r="Z3294" s="3"/>
    </row>
    <row r="3295" spans="1:26" ht="15.6" x14ac:dyDescent="0.3">
      <c r="A3295" s="18" t="s">
        <v>5</v>
      </c>
      <c r="B3295" s="24" t="s">
        <v>3284</v>
      </c>
      <c r="C3295" s="2" t="str">
        <f ca="1">IFERROR(__xludf.DUMMYFUNCTION("GOOGLETRANSLATE(B3295, ""bn"", ""en"")"),"In Narail, 36 people were killed in an attack on a minority community in a religious conflict. The local administration failed to bring the situation under control and the situation escalated.")</f>
        <v>In Narail, 36 people were killed in an attack on a minority community in a religious conflict. The local administration failed to bring the situation under control and the situation escalated.</v>
      </c>
      <c r="D3295" s="5"/>
      <c r="E3295" s="5"/>
      <c r="F3295" s="5"/>
      <c r="G3295" s="5"/>
      <c r="H3295" s="5"/>
      <c r="I3295" s="5"/>
      <c r="J3295" s="5"/>
      <c r="K3295" s="5"/>
      <c r="L3295" s="5"/>
      <c r="M3295" s="5"/>
      <c r="N3295" s="5"/>
      <c r="O3295" s="5"/>
      <c r="P3295" s="5"/>
      <c r="Q3295" s="5"/>
      <c r="R3295" s="5"/>
      <c r="S3295" s="5"/>
      <c r="T3295" s="5"/>
      <c r="U3295" s="5"/>
      <c r="V3295" s="5"/>
      <c r="W3295" s="5"/>
      <c r="X3295" s="5"/>
      <c r="Y3295" s="5"/>
      <c r="Z3295" s="5"/>
    </row>
    <row r="3296" spans="1:26" ht="15.6" x14ac:dyDescent="0.3">
      <c r="A3296" s="18" t="s">
        <v>8</v>
      </c>
      <c r="B3296" s="25" t="s">
        <v>3285</v>
      </c>
      <c r="C3296" s="2" t="str">
        <f ca="1">IFERROR(__xludf.DUMMYFUNCTION("GOOGLETRANSLATE(B3296, ""bn"", ""en"")"),"Holy Qurans were broken into hostel rooms during Tarawi prayers and Muslim students were attacked and vandalized, which amounts to religious insults.")</f>
        <v>Holy Qurans were broken into hostel rooms during Tarawi prayers and Muslim students were attacked and vandalized, which amounts to religious insults.</v>
      </c>
      <c r="D3296" s="5"/>
      <c r="E3296" s="5"/>
      <c r="F3296" s="5"/>
      <c r="G3296" s="5"/>
      <c r="H3296" s="5"/>
      <c r="I3296" s="5"/>
      <c r="J3296" s="5"/>
      <c r="K3296" s="5"/>
      <c r="L3296" s="5"/>
      <c r="M3296" s="5"/>
      <c r="N3296" s="5"/>
      <c r="O3296" s="5"/>
      <c r="P3296" s="5"/>
      <c r="Q3296" s="5"/>
      <c r="R3296" s="5"/>
      <c r="S3296" s="5"/>
      <c r="T3296" s="5"/>
      <c r="U3296" s="5"/>
      <c r="V3296" s="5"/>
      <c r="W3296" s="5"/>
      <c r="X3296" s="5"/>
      <c r="Y3296" s="5"/>
      <c r="Z3296" s="5"/>
    </row>
    <row r="3297" spans="1:26" ht="15.6" x14ac:dyDescent="0.3">
      <c r="A3297" s="19" t="s">
        <v>8</v>
      </c>
      <c r="B3297" s="26" t="s">
        <v>3286</v>
      </c>
      <c r="C3297" s="2" t="str">
        <f ca="1">IFERROR(__xludf.DUMMYFUNCTION("GOOGLETRANSLATE(B3297, ""bn"", ""en"")"),"In the evening in Munshiganj, a group of people entered the house of a Hindu family, kicked religious pictures and burnt the Gita.")</f>
        <v>In the evening in Munshiganj, a group of people entered the house of a Hindu family, kicked religious pictures and burnt the Gita.</v>
      </c>
      <c r="D3297" s="5"/>
      <c r="E3297" s="5"/>
      <c r="F3297" s="5"/>
      <c r="G3297" s="5"/>
      <c r="H3297" s="5"/>
      <c r="I3297" s="5"/>
      <c r="J3297" s="5"/>
      <c r="K3297" s="5"/>
      <c r="L3297" s="5"/>
      <c r="M3297" s="5"/>
      <c r="N3297" s="5"/>
      <c r="O3297" s="5"/>
      <c r="P3297" s="5"/>
      <c r="Q3297" s="5"/>
      <c r="R3297" s="5"/>
      <c r="S3297" s="5"/>
      <c r="T3297" s="5"/>
      <c r="U3297" s="5"/>
      <c r="V3297" s="5"/>
      <c r="W3297" s="5"/>
      <c r="X3297" s="5"/>
      <c r="Y3297" s="5"/>
      <c r="Z3297" s="5"/>
    </row>
    <row r="3298" spans="1:26" ht="15.6" x14ac:dyDescent="0.3">
      <c r="A3298" s="18" t="s">
        <v>23</v>
      </c>
      <c r="B3298" s="25" t="s">
        <v>3287</v>
      </c>
      <c r="C3298" s="2" t="str">
        <f ca="1">IFERROR(__xludf.DUMMYFUNCTION("GOOGLETRANSLATE(B3298, ""bn"", ""en"")"),"The way Muslims have been treated in recent incidents is a naked manifestation of the hateful mentality.")</f>
        <v>The way Muslims have been treated in recent incidents is a naked manifestation of the hateful mentality.</v>
      </c>
      <c r="D3298" s="5"/>
      <c r="E3298" s="5"/>
      <c r="F3298" s="5"/>
      <c r="G3298" s="5"/>
      <c r="H3298" s="5"/>
      <c r="I3298" s="5"/>
      <c r="J3298" s="5"/>
      <c r="K3298" s="5"/>
      <c r="L3298" s="5"/>
      <c r="M3298" s="5"/>
      <c r="N3298" s="5"/>
      <c r="O3298" s="5"/>
      <c r="P3298" s="5"/>
      <c r="Q3298" s="5"/>
      <c r="R3298" s="5"/>
      <c r="S3298" s="5"/>
      <c r="T3298" s="5"/>
      <c r="U3298" s="5"/>
      <c r="V3298" s="5"/>
      <c r="W3298" s="5"/>
      <c r="X3298" s="5"/>
      <c r="Y3298" s="5"/>
      <c r="Z3298" s="5"/>
    </row>
    <row r="3299" spans="1:26" ht="15.6" x14ac:dyDescent="0.3">
      <c r="A3299" s="19" t="s">
        <v>3</v>
      </c>
      <c r="B3299" s="26" t="s">
        <v>3288</v>
      </c>
      <c r="C3299" s="2" t="str">
        <f ca="1">IFERROR(__xludf.DUMMYFUNCTION("GOOGLETRANSLATE(B3299, ""bn"", ""en"")"),"A part of the Buddhists went to Nepal and took shelter from the oppression of the Sen kings. That's why Charyapad was discovered from Nepal.")</f>
        <v>A part of the Buddhists went to Nepal and took shelter from the oppression of the Sen kings. That's why Charyapad was discovered from Nepal.</v>
      </c>
      <c r="D3299" s="5"/>
      <c r="E3299" s="5"/>
      <c r="F3299" s="5"/>
      <c r="G3299" s="5"/>
      <c r="H3299" s="5"/>
      <c r="I3299" s="5"/>
      <c r="J3299" s="5"/>
      <c r="K3299" s="5"/>
      <c r="L3299" s="5"/>
      <c r="M3299" s="5"/>
      <c r="N3299" s="5"/>
      <c r="O3299" s="5"/>
      <c r="P3299" s="5"/>
      <c r="Q3299" s="5"/>
      <c r="R3299" s="5"/>
      <c r="S3299" s="5"/>
      <c r="T3299" s="5"/>
      <c r="U3299" s="5"/>
      <c r="V3299" s="5"/>
      <c r="W3299" s="5"/>
      <c r="X3299" s="5"/>
      <c r="Y3299" s="5"/>
      <c r="Z3299" s="5"/>
    </row>
    <row r="3300" spans="1:26" ht="15.6" x14ac:dyDescent="0.3">
      <c r="A3300" s="18" t="s">
        <v>3</v>
      </c>
      <c r="B3300" s="25" t="s">
        <v>3289</v>
      </c>
      <c r="C3300" s="2" t="str">
        <f ca="1">IFERROR(__xludf.DUMMYFUNCTION("GOOGLETRANSLATE(B3300, ""bn"", ""en"")"),"Some products are within the reach of 90% of people. Promote them. The movement is very successful and will be more successful. Inshallah")</f>
        <v>Some products are within the reach of 90% of people. Promote them. The movement is very successful and will be more successful. Inshallah</v>
      </c>
      <c r="D3300" s="5"/>
      <c r="E3300" s="5"/>
      <c r="F3300" s="5"/>
      <c r="G3300" s="5"/>
      <c r="H3300" s="5"/>
      <c r="I3300" s="5"/>
      <c r="J3300" s="5"/>
      <c r="K3300" s="5"/>
      <c r="L3300" s="5"/>
      <c r="M3300" s="5"/>
      <c r="N3300" s="5"/>
      <c r="O3300" s="5"/>
      <c r="P3300" s="5"/>
      <c r="Q3300" s="5"/>
      <c r="R3300" s="5"/>
      <c r="S3300" s="5"/>
      <c r="T3300" s="5"/>
      <c r="U3300" s="5"/>
      <c r="V3300" s="5"/>
      <c r="W3300" s="5"/>
      <c r="X3300" s="5"/>
      <c r="Y3300" s="5"/>
      <c r="Z3300" s="5"/>
    </row>
    <row r="3301" spans="1:26" ht="15.6" x14ac:dyDescent="0.3">
      <c r="A3301" s="19" t="s">
        <v>8</v>
      </c>
      <c r="B3301" s="26" t="s">
        <v>3290</v>
      </c>
      <c r="C3301" s="2" t="str">
        <f ca="1">IFERROR(__xludf.DUMMYFUNCTION("GOOGLETRANSLATE(B3301, ""bn"", ""en"")"),"A crowd surrounded a school in Comilla after spreading rumors that religious sensitive books were being taught.")</f>
        <v>A crowd surrounded a school in Comilla after spreading rumors that religious sensitive books were being taught.</v>
      </c>
      <c r="D3301" s="5"/>
      <c r="E3301" s="5"/>
      <c r="F3301" s="5"/>
      <c r="G3301" s="5"/>
      <c r="H3301" s="5"/>
      <c r="I3301" s="5"/>
      <c r="J3301" s="5"/>
      <c r="K3301" s="5"/>
      <c r="L3301" s="5"/>
      <c r="M3301" s="5"/>
      <c r="N3301" s="5"/>
      <c r="O3301" s="5"/>
      <c r="P3301" s="5"/>
      <c r="Q3301" s="5"/>
      <c r="R3301" s="5"/>
      <c r="S3301" s="5"/>
      <c r="T3301" s="5"/>
      <c r="U3301" s="5"/>
      <c r="V3301" s="5"/>
      <c r="W3301" s="5"/>
      <c r="X3301" s="5"/>
      <c r="Y3301" s="5"/>
      <c r="Z3301" s="5"/>
    </row>
    <row r="3302" spans="1:26" ht="15.6" x14ac:dyDescent="0.3">
      <c r="A3302" s="18" t="s">
        <v>3</v>
      </c>
      <c r="B3302" s="24" t="s">
        <v>3291</v>
      </c>
      <c r="C3302" s="2" t="str">
        <f ca="1">IFERROR(__xludf.DUMMYFUNCTION("GOOGLETRANSLATE(B3302, ""bn"", ""en"")"),"We should proceed with the message of unity, not discrimination in the name of religion.")</f>
        <v>We should proceed with the message of unity, not discrimination in the name of religion.</v>
      </c>
      <c r="D3302" s="5"/>
      <c r="E3302" s="5"/>
      <c r="F3302" s="5"/>
      <c r="G3302" s="5"/>
      <c r="H3302" s="5"/>
      <c r="I3302" s="5"/>
      <c r="J3302" s="5"/>
      <c r="K3302" s="5"/>
      <c r="L3302" s="5"/>
      <c r="M3302" s="5"/>
      <c r="N3302" s="5"/>
      <c r="O3302" s="5"/>
      <c r="P3302" s="5"/>
      <c r="Q3302" s="5"/>
      <c r="R3302" s="5"/>
      <c r="S3302" s="5"/>
      <c r="T3302" s="5"/>
      <c r="U3302" s="5"/>
      <c r="V3302" s="5"/>
      <c r="W3302" s="5"/>
      <c r="X3302" s="5"/>
      <c r="Y3302" s="5"/>
      <c r="Z3302" s="5"/>
    </row>
    <row r="3303" spans="1:26" ht="15.6" x14ac:dyDescent="0.3">
      <c r="A3303" s="18" t="s">
        <v>5</v>
      </c>
      <c r="B3303" s="25" t="s">
        <v>3292</v>
      </c>
      <c r="C3303" s="2" t="str">
        <f ca="1">IFERROR(__xludf.DUMMYFUNCTION("GOOGLETRANSLATE(B3303, ""bn"", ""en"")"),"The captive Hindus were made to stand in a line in pairs. At the sound of the whistle, the Razakars shot them. 42 Hindus were killed and the rest survived with injuries.")</f>
        <v>The captive Hindus were made to stand in a line in pairs. At the sound of the whistle, the Razakars shot them. 42 Hindus were killed and the rest survived with injuries.</v>
      </c>
      <c r="D3303" s="5"/>
      <c r="E3303" s="5"/>
      <c r="F3303" s="5"/>
      <c r="G3303" s="5"/>
      <c r="H3303" s="5"/>
      <c r="I3303" s="5"/>
      <c r="J3303" s="5"/>
      <c r="K3303" s="5"/>
      <c r="L3303" s="5"/>
      <c r="M3303" s="5"/>
      <c r="N3303" s="5"/>
      <c r="O3303" s="5"/>
      <c r="P3303" s="5"/>
      <c r="Q3303" s="5"/>
      <c r="R3303" s="5"/>
      <c r="S3303" s="5"/>
      <c r="T3303" s="5"/>
      <c r="U3303" s="5"/>
      <c r="V3303" s="5"/>
      <c r="W3303" s="5"/>
      <c r="X3303" s="5"/>
      <c r="Y3303" s="5"/>
      <c r="Z3303" s="5"/>
    </row>
    <row r="3304" spans="1:26" ht="15.6" x14ac:dyDescent="0.3">
      <c r="A3304" s="18" t="s">
        <v>8</v>
      </c>
      <c r="B3304" s="24" t="s">
        <v>3293</v>
      </c>
      <c r="C3304" s="2" t="str">
        <f ca="1">IFERROR(__xludf.DUMMYFUNCTION("GOOGLETRANSLATE(B3304, ""bn"", ""en"")"),"On June 19, 2024, they entered a Kalimandir at Gournadi in Barisal and stole the idol's necklace and weapons.")</f>
        <v>On June 19, 2024, they entered a Kalimandir at Gournadi in Barisal and stole the idol's necklace and weapons.</v>
      </c>
      <c r="D3304" s="5"/>
      <c r="E3304" s="5"/>
      <c r="F3304" s="5"/>
      <c r="G3304" s="5"/>
      <c r="H3304" s="5"/>
      <c r="I3304" s="5"/>
      <c r="J3304" s="5"/>
      <c r="K3304" s="5"/>
      <c r="L3304" s="5"/>
      <c r="M3304" s="5"/>
      <c r="N3304" s="5"/>
      <c r="O3304" s="5"/>
      <c r="P3304" s="5"/>
      <c r="Q3304" s="5"/>
      <c r="R3304" s="5"/>
      <c r="S3304" s="5"/>
      <c r="T3304" s="5"/>
      <c r="U3304" s="5"/>
      <c r="V3304" s="5"/>
      <c r="W3304" s="5"/>
      <c r="X3304" s="5"/>
      <c r="Y3304" s="5"/>
      <c r="Z3304" s="5"/>
    </row>
    <row r="3305" spans="1:26" ht="15.6" x14ac:dyDescent="0.3">
      <c r="A3305" s="18" t="s">
        <v>8</v>
      </c>
      <c r="B3305" s="25" t="s">
        <v>3294</v>
      </c>
      <c r="C3305" s="2" t="str">
        <f ca="1">IFERROR(__xludf.DUMMYFUNCTION("GOOGLETRANSLATE(B3305, ""bn"", ""en"")"),"Muslim fanatics on October 13 attacked Ashutosh Doctor's home worship hall, Hatia Municipality Kali Mandir at Shankar Market in Hatia, Noakhali district.")</f>
        <v>Muslim fanatics on October 13 attacked Ashutosh Doctor's home worship hall, Hatia Municipality Kali Mandir at Shankar Market in Hatia, Noakhali district.</v>
      </c>
      <c r="D3305" s="6"/>
      <c r="E3305" s="6"/>
      <c r="F3305" s="6"/>
      <c r="G3305" s="6"/>
      <c r="H3305" s="3"/>
      <c r="I3305" s="3"/>
      <c r="J3305" s="3"/>
      <c r="K3305" s="3"/>
      <c r="L3305" s="3"/>
      <c r="M3305" s="3"/>
      <c r="N3305" s="3"/>
      <c r="O3305" s="3"/>
      <c r="P3305" s="3"/>
      <c r="Q3305" s="3"/>
      <c r="R3305" s="3"/>
      <c r="S3305" s="3"/>
      <c r="T3305" s="3"/>
      <c r="U3305" s="3"/>
      <c r="V3305" s="3"/>
      <c r="W3305" s="3"/>
      <c r="X3305" s="3"/>
      <c r="Y3305" s="3"/>
      <c r="Z3305" s="3"/>
    </row>
    <row r="3306" spans="1:26" ht="15.6" x14ac:dyDescent="0.3">
      <c r="A3306" s="18" t="s">
        <v>8</v>
      </c>
      <c r="B3306" s="25" t="s">
        <v>3295</v>
      </c>
      <c r="C3306" s="2" t="str">
        <f ca="1">IFERROR(__xludf.DUMMYFUNCTION("GOOGLETRANSLATE(B3306, ""bn"", ""en"")"),"In Jhenaidah, some Muslims opened fire on a bus of Coptic Christians, part of violence against the country's Christian minority.")</f>
        <v>In Jhenaidah, some Muslims opened fire on a bus of Coptic Christians, part of violence against the country's Christian minority.</v>
      </c>
      <c r="D3306" s="2"/>
      <c r="E3306" s="2"/>
      <c r="F3306" s="2"/>
      <c r="G3306" s="2"/>
      <c r="H3306" s="3"/>
      <c r="I3306" s="3"/>
      <c r="J3306" s="3"/>
      <c r="K3306" s="3"/>
      <c r="L3306" s="3"/>
      <c r="M3306" s="3"/>
      <c r="N3306" s="3"/>
      <c r="O3306" s="3"/>
      <c r="P3306" s="3"/>
      <c r="Q3306" s="3"/>
      <c r="R3306" s="3"/>
      <c r="S3306" s="3"/>
      <c r="T3306" s="3"/>
      <c r="U3306" s="3"/>
      <c r="V3306" s="3"/>
      <c r="W3306" s="3"/>
      <c r="X3306" s="3"/>
      <c r="Y3306" s="3"/>
      <c r="Z3306" s="3"/>
    </row>
    <row r="3307" spans="1:26" ht="15.6" x14ac:dyDescent="0.3">
      <c r="A3307" s="18" t="s">
        <v>8</v>
      </c>
      <c r="B3307" s="24" t="s">
        <v>3296</v>
      </c>
      <c r="C3307" s="2" t="str">
        <f ca="1">IFERROR(__xludf.DUMMYFUNCTION("GOOGLETRANSLATE(B3307, ""bn"", ""en"")"),"The gate of a church in Narsingdi was broken into and the holy books inside were torn, much to the chagrin of the Christian community.")</f>
        <v>The gate of a church in Narsingdi was broken into and the holy books inside were torn, much to the chagrin of the Christian community.</v>
      </c>
      <c r="D3307" s="5"/>
      <c r="E3307" s="5"/>
      <c r="F3307" s="5"/>
      <c r="G3307" s="5"/>
      <c r="H3307" s="5"/>
      <c r="I3307" s="5"/>
      <c r="J3307" s="5"/>
      <c r="K3307" s="5"/>
      <c r="L3307" s="5"/>
      <c r="M3307" s="5"/>
      <c r="N3307" s="5"/>
      <c r="O3307" s="5"/>
      <c r="P3307" s="5"/>
      <c r="Q3307" s="5"/>
      <c r="R3307" s="5"/>
      <c r="S3307" s="5"/>
      <c r="T3307" s="5"/>
      <c r="U3307" s="5"/>
      <c r="V3307" s="5"/>
      <c r="W3307" s="5"/>
      <c r="X3307" s="5"/>
      <c r="Y3307" s="5"/>
      <c r="Z3307" s="5"/>
    </row>
    <row r="3308" spans="1:26" ht="15.6" x14ac:dyDescent="0.3">
      <c r="A3308" s="19" t="s">
        <v>3</v>
      </c>
      <c r="B3308" s="26" t="s">
        <v>3297</v>
      </c>
      <c r="C3308" s="2" t="str">
        <f ca="1">IFERROR(__xludf.DUMMYFUNCTION("GOOGLETRANSLATE(B3308, ""bn"", ""en"")"),"Father Michael D'Rosario wrote in the book 'History of Christendom in Bangladesh', Father Barbier's report about the Christians in Bangladesh in 1715, he mentioned that there are three types in Bangladesh. Christians were:")</f>
        <v>Father Michael D'Rosario wrote in the book 'History of Christendom in Bangladesh', Father Barbier's report about the Christians in Bangladesh in 1715, he mentioned that there are three types in Bangladesh. Christians were:</v>
      </c>
      <c r="D3308" s="5"/>
      <c r="E3308" s="5"/>
      <c r="F3308" s="5"/>
      <c r="G3308" s="5"/>
      <c r="H3308" s="5"/>
      <c r="I3308" s="5"/>
      <c r="J3308" s="5"/>
      <c r="K3308" s="5"/>
      <c r="L3308" s="5"/>
      <c r="M3308" s="5"/>
      <c r="N3308" s="5"/>
      <c r="O3308" s="5"/>
      <c r="P3308" s="5"/>
      <c r="Q3308" s="5"/>
      <c r="R3308" s="5"/>
      <c r="S3308" s="5"/>
      <c r="T3308" s="5"/>
      <c r="U3308" s="5"/>
      <c r="V3308" s="5"/>
      <c r="W3308" s="5"/>
      <c r="X3308" s="5"/>
      <c r="Y3308" s="5"/>
      <c r="Z3308" s="5"/>
    </row>
    <row r="3309" spans="1:26" ht="15.6" x14ac:dyDescent="0.3">
      <c r="A3309" s="18" t="s">
        <v>5</v>
      </c>
      <c r="B3309" s="24" t="s">
        <v>3298</v>
      </c>
      <c r="C3309" s="2" t="str">
        <f ca="1">IFERROR(__xludf.DUMMYFUNCTION("GOOGLETRANSLATE(B3309, ""bn"", ""en"")"),"A woman was buried alive after she changed her religious beliefs, and 11 people were killed in an attack on protesters.")</f>
        <v>A woman was buried alive after she changed her religious beliefs, and 11 people were killed in an attack on protesters.</v>
      </c>
      <c r="D3309" s="5"/>
      <c r="E3309" s="5"/>
      <c r="F3309" s="5"/>
      <c r="G3309" s="5"/>
      <c r="H3309" s="5"/>
      <c r="I3309" s="5"/>
      <c r="J3309" s="5"/>
      <c r="K3309" s="5"/>
      <c r="L3309" s="5"/>
      <c r="M3309" s="5"/>
      <c r="N3309" s="5"/>
      <c r="O3309" s="5"/>
      <c r="P3309" s="5"/>
      <c r="Q3309" s="5"/>
      <c r="R3309" s="5"/>
      <c r="S3309" s="5"/>
      <c r="T3309" s="5"/>
      <c r="U3309" s="5"/>
      <c r="V3309" s="5"/>
      <c r="W3309" s="5"/>
      <c r="X3309" s="5"/>
      <c r="Y3309" s="5"/>
      <c r="Z3309" s="5"/>
    </row>
    <row r="3310" spans="1:26" ht="15.6" x14ac:dyDescent="0.3">
      <c r="A3310" s="19" t="s">
        <v>8</v>
      </c>
      <c r="B3310" s="26" t="s">
        <v>3299</v>
      </c>
      <c r="C3310" s="2" t="str">
        <f ca="1">IFERROR(__xludf.DUMMYFUNCTION("GOOGLETRANSLATE(B3310, ""bn"", ""en"")"),"A white supremacist gunman opened fire at a black church, an example of racial and religious hatred.")</f>
        <v>A white supremacist gunman opened fire at a black church, an example of racial and religious hatred.</v>
      </c>
      <c r="D3310" s="5"/>
      <c r="E3310" s="5"/>
      <c r="F3310" s="5"/>
      <c r="G3310" s="5"/>
      <c r="H3310" s="5"/>
      <c r="I3310" s="5"/>
      <c r="J3310" s="5"/>
      <c r="K3310" s="5"/>
      <c r="L3310" s="5"/>
      <c r="M3310" s="5"/>
      <c r="N3310" s="5"/>
      <c r="O3310" s="5"/>
      <c r="P3310" s="5"/>
      <c r="Q3310" s="5"/>
      <c r="R3310" s="5"/>
      <c r="S3310" s="5"/>
      <c r="T3310" s="5"/>
      <c r="U3310" s="5"/>
      <c r="V3310" s="5"/>
      <c r="W3310" s="5"/>
      <c r="X3310" s="5"/>
      <c r="Y3310" s="5"/>
      <c r="Z3310" s="5"/>
    </row>
    <row r="3311" spans="1:26" ht="15.6" x14ac:dyDescent="0.3">
      <c r="A3311" s="18" t="s">
        <v>23</v>
      </c>
      <c r="B3311" s="24" t="s">
        <v>3300</v>
      </c>
      <c r="C3311" s="2" t="str">
        <f ca="1">IFERROR(__xludf.DUMMYFUNCTION("GOOGLETRANSLATE(B3311, ""bn"", ""en"")"),"Many of the old religious practices of the Buddhists no longer work, and they are creating turmoil in the society by harboring hatred towards the new religion.")</f>
        <v>Many of the old religious practices of the Buddhists no longer work, and they are creating turmoil in the society by harboring hatred towards the new religion.</v>
      </c>
      <c r="D3311" s="5"/>
      <c r="E3311" s="5"/>
      <c r="F3311" s="5"/>
      <c r="G3311" s="5"/>
      <c r="H3311" s="5"/>
      <c r="I3311" s="5"/>
      <c r="J3311" s="5"/>
      <c r="K3311" s="5"/>
      <c r="L3311" s="5"/>
      <c r="M3311" s="5"/>
      <c r="N3311" s="5"/>
      <c r="O3311" s="5"/>
      <c r="P3311" s="5"/>
      <c r="Q3311" s="5"/>
      <c r="R3311" s="5"/>
      <c r="S3311" s="5"/>
      <c r="T3311" s="5"/>
      <c r="U3311" s="5"/>
      <c r="V3311" s="5"/>
      <c r="W3311" s="5"/>
      <c r="X3311" s="5"/>
      <c r="Y3311" s="5"/>
      <c r="Z3311" s="5"/>
    </row>
    <row r="3312" spans="1:26" ht="15.6" x14ac:dyDescent="0.3">
      <c r="A3312" s="18" t="s">
        <v>3</v>
      </c>
      <c r="B3312" s="25" t="s">
        <v>3301</v>
      </c>
      <c r="C3312" s="2" t="str">
        <f ca="1">IFERROR(__xludf.DUMMYFUNCTION("GOOGLETRANSLATE(B3312, ""bn"", ""en"")"),"Killing people in the name of religion is unacceptable. It is very sad.")</f>
        <v>Killing people in the name of religion is unacceptable. It is very sad.</v>
      </c>
      <c r="D3312" s="2"/>
      <c r="E3312" s="2"/>
      <c r="F3312" s="2"/>
      <c r="G3312" s="2"/>
      <c r="H3312" s="3"/>
      <c r="I3312" s="3"/>
      <c r="J3312" s="3"/>
      <c r="K3312" s="3"/>
      <c r="L3312" s="3"/>
      <c r="M3312" s="3"/>
      <c r="N3312" s="3"/>
      <c r="O3312" s="3"/>
      <c r="P3312" s="3"/>
      <c r="Q3312" s="3"/>
      <c r="R3312" s="3"/>
      <c r="S3312" s="3"/>
      <c r="T3312" s="3"/>
      <c r="U3312" s="3"/>
      <c r="V3312" s="3"/>
      <c r="W3312" s="3"/>
      <c r="X3312" s="3"/>
      <c r="Y3312" s="3"/>
      <c r="Z3312" s="3"/>
    </row>
    <row r="3313" spans="1:26" ht="15.6" x14ac:dyDescent="0.3">
      <c r="A3313" s="19" t="s">
        <v>23</v>
      </c>
      <c r="B3313" s="26" t="s">
        <v>3302</v>
      </c>
      <c r="C3313" s="2" t="str">
        <f ca="1">IFERROR(__xludf.DUMMYFUNCTION("GOOGLETRANSLATE(B3313, ""bn"", ""en"")"),"Religionists and religionists are different, there are very few in the country who are truly religious.")</f>
        <v>Religionists and religionists are different, there are very few in the country who are truly religious.</v>
      </c>
      <c r="D3313" s="5"/>
      <c r="E3313" s="5"/>
      <c r="F3313" s="5"/>
      <c r="G3313" s="5"/>
      <c r="H3313" s="5"/>
      <c r="I3313" s="5"/>
      <c r="J3313" s="5"/>
      <c r="K3313" s="5"/>
      <c r="L3313" s="5"/>
      <c r="M3313" s="5"/>
      <c r="N3313" s="5"/>
      <c r="O3313" s="5"/>
      <c r="P3313" s="5"/>
      <c r="Q3313" s="5"/>
      <c r="R3313" s="5"/>
      <c r="S3313" s="5"/>
      <c r="T3313" s="5"/>
      <c r="U3313" s="5"/>
      <c r="V3313" s="5"/>
      <c r="W3313" s="5"/>
      <c r="X3313" s="5"/>
      <c r="Y3313" s="5"/>
      <c r="Z3313" s="5"/>
    </row>
    <row r="3314" spans="1:26" ht="15.6" x14ac:dyDescent="0.3">
      <c r="A3314" s="19" t="s">
        <v>23</v>
      </c>
      <c r="B3314" s="26" t="s">
        <v>2898</v>
      </c>
      <c r="C3314" s="2" t="str">
        <f ca="1">IFERROR(__xludf.DUMMYFUNCTION("GOOGLETRANSLATE(B3314, ""bn"", ""en"")"),"Embrace all the visible symbols of Islam. Increase from what they used to hold. The above words of the Prophet will also be followed: contrast with the Gentiles.")</f>
        <v>Embrace all the visible symbols of Islam. Increase from what they used to hold. The above words of the Prophet will also be followed: contrast with the Gentiles.</v>
      </c>
      <c r="D3314" s="5"/>
      <c r="E3314" s="5"/>
      <c r="F3314" s="5"/>
      <c r="G3314" s="5"/>
      <c r="H3314" s="5"/>
      <c r="I3314" s="5"/>
      <c r="J3314" s="5"/>
      <c r="K3314" s="5"/>
      <c r="L3314" s="5"/>
      <c r="M3314" s="5"/>
      <c r="N3314" s="5"/>
      <c r="O3314" s="5"/>
      <c r="P3314" s="5"/>
      <c r="Q3314" s="5"/>
      <c r="R3314" s="5"/>
      <c r="S3314" s="5"/>
      <c r="T3314" s="5"/>
      <c r="U3314" s="5"/>
      <c r="V3314" s="5"/>
      <c r="W3314" s="5"/>
      <c r="X3314" s="5"/>
      <c r="Y3314" s="5"/>
      <c r="Z3314" s="5"/>
    </row>
    <row r="3315" spans="1:26" ht="15.6" x14ac:dyDescent="0.3">
      <c r="A3315" s="18" t="s">
        <v>8</v>
      </c>
      <c r="B3315" s="25" t="s">
        <v>3303</v>
      </c>
      <c r="C3315" s="2" t="str">
        <f ca="1">IFERROR(__xludf.DUMMYFUNCTION("GOOGLETRANSLATE(B3315, ""bn"", ""en"")"),"On August 6, idols were vandalized in front of a temple in Mongla during a football match.")</f>
        <v>On August 6, idols were vandalized in front of a temple in Mongla during a football match.</v>
      </c>
      <c r="D3315" s="6"/>
      <c r="E3315" s="6"/>
      <c r="F3315" s="2"/>
      <c r="G3315" s="2"/>
      <c r="H3315" s="3"/>
      <c r="I3315" s="3"/>
      <c r="J3315" s="3"/>
      <c r="K3315" s="3"/>
      <c r="L3315" s="3"/>
      <c r="M3315" s="3"/>
      <c r="N3315" s="3"/>
      <c r="O3315" s="3"/>
      <c r="P3315" s="3"/>
      <c r="Q3315" s="3"/>
      <c r="R3315" s="3"/>
      <c r="S3315" s="3"/>
      <c r="T3315" s="3"/>
      <c r="U3315" s="3"/>
      <c r="V3315" s="3"/>
      <c r="W3315" s="3"/>
      <c r="X3315" s="3"/>
      <c r="Y3315" s="3"/>
      <c r="Z3315" s="3"/>
    </row>
    <row r="3316" spans="1:26" ht="15.6" x14ac:dyDescent="0.3">
      <c r="A3316" s="18" t="s">
        <v>23</v>
      </c>
      <c r="B3316" s="25" t="s">
        <v>3304</v>
      </c>
      <c r="C3316" s="2" t="str">
        <f ca="1">IFERROR(__xludf.DUMMYFUNCTION("GOOGLETRANSLATE(B3316, ""bn"", ""en"")"),"I don't understand what the Hindu-Muslim comparison is here. And thanks to the people in my friends list for sharing posts with such nice captions ie insulting Hindus.")</f>
        <v>I don't understand what the Hindu-Muslim comparison is here. And thanks to the people in my friends list for sharing posts with such nice captions ie insulting Hindus.</v>
      </c>
      <c r="D3316" s="6"/>
      <c r="E3316" s="2"/>
      <c r="F3316" s="2"/>
      <c r="G3316" s="2"/>
      <c r="H3316" s="3"/>
      <c r="I3316" s="3"/>
      <c r="J3316" s="3"/>
      <c r="K3316" s="3"/>
      <c r="L3316" s="3"/>
      <c r="M3316" s="3"/>
      <c r="N3316" s="3"/>
      <c r="O3316" s="3"/>
      <c r="P3316" s="3"/>
      <c r="Q3316" s="3"/>
      <c r="R3316" s="3"/>
      <c r="S3316" s="3"/>
      <c r="T3316" s="3"/>
      <c r="U3316" s="3"/>
      <c r="V3316" s="3"/>
      <c r="W3316" s="3"/>
      <c r="X3316" s="3"/>
      <c r="Y3316" s="3"/>
      <c r="Z3316" s="3"/>
    </row>
    <row r="3317" spans="1:26" ht="15.6" x14ac:dyDescent="0.3">
      <c r="A3317" s="18" t="s">
        <v>8</v>
      </c>
      <c r="B3317" s="25" t="s">
        <v>3305</v>
      </c>
      <c r="C3317" s="2" t="str">
        <f ca="1">IFERROR(__xludf.DUMMYFUNCTION("GOOGLETRANSLATE(B3317, ""bn"", ""en"")"),"Then Iftar, Jumma, Eid prayers will be called unnecessary, unnecessary mosques occupy so much valuable space - mosques will be demolished using this excuse.")</f>
        <v>Then Iftar, Jumma, Eid prayers will be called unnecessary, unnecessary mosques occupy so much valuable space - mosques will be demolished using this excuse.</v>
      </c>
      <c r="D3317" s="2"/>
      <c r="E3317" s="2"/>
      <c r="F3317" s="2"/>
      <c r="G3317" s="2"/>
      <c r="H3317" s="3"/>
      <c r="I3317" s="3"/>
      <c r="J3317" s="3"/>
      <c r="K3317" s="3"/>
      <c r="L3317" s="3"/>
      <c r="M3317" s="3"/>
      <c r="N3317" s="3"/>
      <c r="O3317" s="3"/>
      <c r="P3317" s="3"/>
      <c r="Q3317" s="3"/>
      <c r="R3317" s="3"/>
      <c r="S3317" s="3"/>
      <c r="T3317" s="3"/>
      <c r="U3317" s="3"/>
      <c r="V3317" s="3"/>
      <c r="W3317" s="3"/>
      <c r="X3317" s="3"/>
      <c r="Y3317" s="3"/>
      <c r="Z3317" s="3"/>
    </row>
    <row r="3318" spans="1:26" ht="15.6" x14ac:dyDescent="0.3">
      <c r="A3318" s="18" t="s">
        <v>8</v>
      </c>
      <c r="B3318" s="25" t="s">
        <v>3306</v>
      </c>
      <c r="C3318" s="2" t="str">
        <f ca="1">IFERROR(__xludf.DUMMYFUNCTION("GOOGLETRANSLATE(B3318, ""bn"", ""en"")"),"""It's a hell of a thing. This incident is a shame at this time of the country. The Hindu community of the country is being persecuted in various ways by fundamentalism. Our backs are against the wall.")</f>
        <v>"It's a hell of a thing. This incident is a shame at this time of the country. The Hindu community of the country is being persecuted in various ways by fundamentalism. Our backs are against the wall.</v>
      </c>
      <c r="D3318" s="5"/>
      <c r="E3318" s="5"/>
      <c r="F3318" s="5"/>
      <c r="G3318" s="5"/>
      <c r="H3318" s="5"/>
      <c r="I3318" s="5"/>
      <c r="J3318" s="5"/>
      <c r="K3318" s="5"/>
      <c r="L3318" s="5"/>
      <c r="M3318" s="5"/>
      <c r="N3318" s="5"/>
      <c r="O3318" s="5"/>
      <c r="P3318" s="5"/>
      <c r="Q3318" s="5"/>
      <c r="R3318" s="5"/>
      <c r="S3318" s="5"/>
      <c r="T3318" s="5"/>
      <c r="U3318" s="5"/>
      <c r="V3318" s="5"/>
      <c r="W3318" s="5"/>
      <c r="X3318" s="5"/>
      <c r="Y3318" s="5"/>
      <c r="Z3318" s="5"/>
    </row>
    <row r="3319" spans="1:26" ht="15.6" x14ac:dyDescent="0.3">
      <c r="A3319" s="19" t="s">
        <v>3</v>
      </c>
      <c r="B3319" s="26" t="s">
        <v>3307</v>
      </c>
      <c r="C3319" s="2" t="str">
        <f ca="1">IFERROR(__xludf.DUMMYFUNCTION("GOOGLETRANSLATE(B3319, ""bn"", ""en"")"),"The life of struggle begins at the beginning of Nabuat. Faced with wall-like obstacles one by one. Suffers severe pain. But he did not give up. He did not give up the power of cancellation. Durbar's courage was in his chest, his feet were firm. With his t"&amp;"actics, and bravery, he resisted the enemies hard.")</f>
        <v>The life of struggle begins at the beginning of Nabuat. Faced with wall-like obstacles one by one. Suffers severe pain. But he did not give up. He did not give up the power of cancellation. Durbar's courage was in his chest, his feet were firm. With his tactics, and bravery, he resisted the enemies hard.</v>
      </c>
      <c r="D3319" s="7"/>
      <c r="E3319" s="7"/>
      <c r="F3319" s="7"/>
      <c r="G3319" s="7"/>
      <c r="H3319" s="5"/>
      <c r="I3319" s="5"/>
      <c r="J3319" s="5"/>
      <c r="K3319" s="5"/>
      <c r="L3319" s="5"/>
      <c r="M3319" s="5"/>
      <c r="N3319" s="5"/>
      <c r="O3319" s="5"/>
      <c r="P3319" s="5"/>
      <c r="Q3319" s="5"/>
      <c r="R3319" s="5"/>
      <c r="S3319" s="5"/>
      <c r="T3319" s="5"/>
      <c r="U3319" s="5"/>
      <c r="V3319" s="5"/>
      <c r="W3319" s="5"/>
      <c r="X3319" s="5"/>
      <c r="Y3319" s="5"/>
      <c r="Z3319" s="5"/>
    </row>
    <row r="3320" spans="1:26" ht="15.6" x14ac:dyDescent="0.3">
      <c r="A3320" s="18" t="s">
        <v>8</v>
      </c>
      <c r="B3320" s="25" t="s">
        <v>3308</v>
      </c>
      <c r="C3320" s="2" t="str">
        <f ca="1">IFERROR(__xludf.DUMMYFUNCTION("GOOGLETRANSLATE(B3320, ""bn"", ""en"")"),"Ashutosh Lahiri, General Secretary of the Hindu Mahasabha rushed to Chandpur after hearing the news of the helplessness of the Hindus of Noakhali at the hands of the Muslim rioters.")</f>
        <v>Ashutosh Lahiri, General Secretary of the Hindu Mahasabha rushed to Chandpur after hearing the news of the helplessness of the Hindus of Noakhali at the hands of the Muslim rioters.</v>
      </c>
      <c r="D3320" s="5"/>
      <c r="E3320" s="5"/>
      <c r="F3320" s="5"/>
      <c r="G3320" s="5"/>
      <c r="H3320" s="5"/>
      <c r="I3320" s="5"/>
      <c r="J3320" s="5"/>
      <c r="K3320" s="5"/>
      <c r="L3320" s="5"/>
      <c r="M3320" s="5"/>
      <c r="N3320" s="5"/>
      <c r="O3320" s="5"/>
      <c r="P3320" s="5"/>
      <c r="Q3320" s="5"/>
      <c r="R3320" s="5"/>
      <c r="S3320" s="5"/>
      <c r="T3320" s="5"/>
      <c r="U3320" s="5"/>
      <c r="V3320" s="5"/>
      <c r="W3320" s="5"/>
      <c r="X3320" s="5"/>
      <c r="Y3320" s="5"/>
      <c r="Z3320" s="5"/>
    </row>
    <row r="3321" spans="1:26" ht="15.6" x14ac:dyDescent="0.3">
      <c r="A3321" s="18" t="s">
        <v>8</v>
      </c>
      <c r="B3321" s="25" t="s">
        <v>3309</v>
      </c>
      <c r="C3321" s="2" t="str">
        <f ca="1">IFERROR(__xludf.DUMMYFUNCTION("GOOGLETRANSLATE(B3321, ""bn"", ""en"")"),"Local Muslims looted at least 100 Hindu houses and businesses in Gar Beltali and Hazaribagh and vandalized and set fire to more than a dozen Hindu temples.")</f>
        <v>Local Muslims looted at least 100 Hindu houses and businesses in Gar Beltali and Hazaribagh and vandalized and set fire to more than a dozen Hindu temples.</v>
      </c>
      <c r="D3321" s="2"/>
      <c r="E3321" s="2"/>
      <c r="F3321" s="2"/>
      <c r="G3321" s="2"/>
      <c r="H3321" s="3"/>
      <c r="I3321" s="3"/>
      <c r="J3321" s="3"/>
      <c r="K3321" s="3"/>
      <c r="L3321" s="3"/>
      <c r="M3321" s="3"/>
      <c r="N3321" s="3"/>
      <c r="O3321" s="3"/>
      <c r="P3321" s="3"/>
      <c r="Q3321" s="3"/>
      <c r="R3321" s="3"/>
      <c r="S3321" s="3"/>
      <c r="T3321" s="3"/>
      <c r="U3321" s="3"/>
      <c r="V3321" s="3"/>
      <c r="W3321" s="3"/>
      <c r="X3321" s="3"/>
      <c r="Y3321" s="3"/>
      <c r="Z3321" s="3"/>
    </row>
    <row r="3322" spans="1:26" ht="15.6" x14ac:dyDescent="0.3">
      <c r="A3322" s="18" t="s">
        <v>3</v>
      </c>
      <c r="B3322" s="25" t="s">
        <v>3310</v>
      </c>
      <c r="C3322" s="2" t="str">
        <f ca="1">IFERROR(__xludf.DUMMYFUNCTION("GOOGLETRANSLATE(B3322, ""bn"", ""en"")"),"Regional forms of the word 'Allah' are found in pre-Islamic inscriptions, both pagan and Christian. Pre-Islamic polytheistic religions have proposed various theories about God.")</f>
        <v>Regional forms of the word 'Allah' are found in pre-Islamic inscriptions, both pagan and Christian. Pre-Islamic polytheistic religions have proposed various theories about God.</v>
      </c>
      <c r="D3322" s="2"/>
      <c r="E3322" s="2"/>
      <c r="F3322" s="2"/>
      <c r="G3322" s="2"/>
      <c r="H3322" s="5"/>
      <c r="I3322" s="5"/>
      <c r="J3322" s="5"/>
      <c r="K3322" s="5"/>
      <c r="L3322" s="5"/>
      <c r="M3322" s="5"/>
      <c r="N3322" s="5"/>
      <c r="O3322" s="5"/>
      <c r="P3322" s="5"/>
      <c r="Q3322" s="5"/>
      <c r="R3322" s="5"/>
      <c r="S3322" s="5"/>
      <c r="T3322" s="5"/>
      <c r="U3322" s="5"/>
      <c r="V3322" s="5"/>
      <c r="W3322" s="5"/>
      <c r="X3322" s="5"/>
      <c r="Y3322" s="5"/>
      <c r="Z3322" s="5"/>
    </row>
    <row r="3323" spans="1:26" ht="15.6" x14ac:dyDescent="0.3">
      <c r="A3323" s="18" t="s">
        <v>8</v>
      </c>
      <c r="B3323" s="24" t="s">
        <v>3311</v>
      </c>
      <c r="C3323" s="2" t="str">
        <f ca="1">IFERROR(__xludf.DUMMYFUNCTION("GOOGLETRANSLATE(B3323, ""bn"", ""en"")"),"On January 5, 2025, Mansa entered the Mansa temple in Mirzapur, Tangail, removed the metal idol and defecated on the altar.")</f>
        <v>On January 5, 2025, Mansa entered the Mansa temple in Mirzapur, Tangail, removed the metal idol and defecated on the altar.</v>
      </c>
      <c r="D3323" s="5"/>
      <c r="E3323" s="5"/>
      <c r="F3323" s="5"/>
      <c r="G3323" s="5"/>
      <c r="H3323" s="5"/>
      <c r="I3323" s="5"/>
      <c r="J3323" s="5"/>
      <c r="K3323" s="5"/>
      <c r="L3323" s="5"/>
      <c r="M3323" s="5"/>
      <c r="N3323" s="5"/>
      <c r="O3323" s="5"/>
      <c r="P3323" s="5"/>
      <c r="Q3323" s="5"/>
      <c r="R3323" s="5"/>
      <c r="S3323" s="5"/>
      <c r="T3323" s="5"/>
      <c r="U3323" s="5"/>
      <c r="V3323" s="5"/>
      <c r="W3323" s="5"/>
      <c r="X3323" s="5"/>
      <c r="Y3323" s="5"/>
      <c r="Z3323" s="5"/>
    </row>
    <row r="3324" spans="1:26" ht="15.6" x14ac:dyDescent="0.3">
      <c r="A3324" s="18" t="s">
        <v>23</v>
      </c>
      <c r="B3324" s="25" t="s">
        <v>3312</v>
      </c>
      <c r="C3324" s="2" t="str">
        <f ca="1">IFERROR(__xludf.DUMMYFUNCTION("GOOGLETRANSLATE(B3324, ""bn"", ""en"")"),"Most of today's youth are on a mission to destroy Islam by making haram a style and mocking Allah's clear prohibition. This pro-atheist drinking is the root of fitna.")</f>
        <v>Most of today's youth are on a mission to destroy Islam by making haram a style and mocking Allah's clear prohibition. This pro-atheist drinking is the root of fitna.</v>
      </c>
      <c r="D3324" s="5"/>
      <c r="E3324" s="5"/>
      <c r="F3324" s="5"/>
      <c r="G3324" s="5"/>
      <c r="H3324" s="5"/>
      <c r="I3324" s="5"/>
      <c r="J3324" s="5"/>
      <c r="K3324" s="5"/>
      <c r="L3324" s="5"/>
      <c r="M3324" s="5"/>
      <c r="N3324" s="5"/>
      <c r="O3324" s="5"/>
      <c r="P3324" s="5"/>
      <c r="Q3324" s="5"/>
      <c r="R3324" s="5"/>
      <c r="S3324" s="5"/>
      <c r="T3324" s="5"/>
      <c r="U3324" s="5"/>
      <c r="V3324" s="5"/>
      <c r="W3324" s="5"/>
      <c r="X3324" s="5"/>
      <c r="Y3324" s="5"/>
      <c r="Z3324" s="5"/>
    </row>
    <row r="3325" spans="1:26" ht="15.6" x14ac:dyDescent="0.3">
      <c r="A3325" s="18" t="s">
        <v>3</v>
      </c>
      <c r="B3325" s="25" t="s">
        <v>3313</v>
      </c>
      <c r="C3325" s="2" t="str">
        <f ca="1">IFERROR(__xludf.DUMMYFUNCTION("GOOGLETRANSLATE(B3325, ""bn"", ""en"")"),"May Allah guide us all.")</f>
        <v>May Allah guide us all.</v>
      </c>
      <c r="D3325" s="7"/>
      <c r="E3325" s="5"/>
      <c r="F3325" s="5"/>
      <c r="G3325" s="5"/>
      <c r="H3325" s="5"/>
      <c r="I3325" s="5"/>
      <c r="J3325" s="5"/>
      <c r="K3325" s="5"/>
      <c r="L3325" s="5"/>
      <c r="M3325" s="5"/>
      <c r="N3325" s="5"/>
      <c r="O3325" s="5"/>
      <c r="P3325" s="5"/>
      <c r="Q3325" s="5"/>
      <c r="R3325" s="5"/>
      <c r="S3325" s="5"/>
      <c r="T3325" s="5"/>
      <c r="U3325" s="5"/>
      <c r="V3325" s="5"/>
      <c r="W3325" s="5"/>
      <c r="X3325" s="5"/>
      <c r="Y3325" s="5"/>
      <c r="Z3325" s="5"/>
    </row>
    <row r="3326" spans="1:26" ht="15.6" x14ac:dyDescent="0.3">
      <c r="A3326" s="18" t="s">
        <v>8</v>
      </c>
      <c r="B3326" s="25" t="s">
        <v>3314</v>
      </c>
      <c r="C3326" s="2" t="str">
        <f ca="1">IFERROR(__xludf.DUMMYFUNCTION("GOOGLETRANSLATE(B3326, ""bn"", ""en"")"),"Mohammad Islam opened a fake Facebook ID named Akash Saha and made bad comments about Islam. In that incident, the houses of Hindus in Narail were destroyed")</f>
        <v>Mohammad Islam opened a fake Facebook ID named Akash Saha and made bad comments about Islam. In that incident, the houses of Hindus in Narail were destroyed</v>
      </c>
      <c r="D3326" s="2"/>
      <c r="E3326" s="2"/>
      <c r="F3326" s="2"/>
      <c r="G3326" s="2"/>
      <c r="H3326" s="5"/>
      <c r="I3326" s="5"/>
      <c r="J3326" s="5"/>
      <c r="K3326" s="5"/>
      <c r="L3326" s="5"/>
      <c r="M3326" s="5"/>
      <c r="N3326" s="5"/>
      <c r="O3326" s="5"/>
      <c r="P3326" s="5"/>
      <c r="Q3326" s="5"/>
      <c r="R3326" s="5"/>
      <c r="S3326" s="5"/>
      <c r="T3326" s="5"/>
      <c r="U3326" s="5"/>
      <c r="V3326" s="5"/>
      <c r="W3326" s="5"/>
      <c r="X3326" s="5"/>
      <c r="Y3326" s="5"/>
      <c r="Z3326" s="5"/>
    </row>
    <row r="3327" spans="1:26" ht="15.6" x14ac:dyDescent="0.3">
      <c r="A3327" s="18" t="s">
        <v>5</v>
      </c>
      <c r="B3327" s="24" t="s">
        <v>3315</v>
      </c>
      <c r="C3327" s="2" t="str">
        <f ca="1">IFERROR(__xludf.DUMMYFUNCTION("GOOGLETRANSLATE(B3327, ""bn"", ""en"")"),"31 people were killed in a bomb blast at a religious festival of a religious community.")</f>
        <v>31 people were killed in a bomb blast at a religious festival of a religious community.</v>
      </c>
      <c r="D3327" s="5"/>
      <c r="E3327" s="5"/>
      <c r="F3327" s="5"/>
      <c r="G3327" s="5"/>
      <c r="H3327" s="5"/>
      <c r="I3327" s="5"/>
      <c r="J3327" s="5"/>
      <c r="K3327" s="5"/>
      <c r="L3327" s="5"/>
      <c r="M3327" s="5"/>
      <c r="N3327" s="5"/>
      <c r="O3327" s="5"/>
      <c r="P3327" s="5"/>
      <c r="Q3327" s="5"/>
      <c r="R3327" s="5"/>
      <c r="S3327" s="5"/>
      <c r="T3327" s="5"/>
      <c r="U3327" s="5"/>
      <c r="V3327" s="5"/>
      <c r="W3327" s="5"/>
      <c r="X3327" s="5"/>
      <c r="Y3327" s="5"/>
      <c r="Z3327" s="5"/>
    </row>
    <row r="3328" spans="1:26" ht="15.6" x14ac:dyDescent="0.3">
      <c r="A3328" s="19" t="s">
        <v>3</v>
      </c>
      <c r="B3328" s="26" t="s">
        <v>3316</v>
      </c>
      <c r="C3328" s="2" t="str">
        <f ca="1">IFERROR(__xludf.DUMMYFUNCTION("GOOGLETRANSLATE(B3328, ""bn"", ""en"")"),"Some Muslim scholars believe that because the word ""Allah"" is a word in the Qur'an, it gives 10 per letter a total of 40 virtues, which are not found in ""God"" or other words.")</f>
        <v>Some Muslim scholars believe that because the word "Allah" is a word in the Qur'an, it gives 10 per letter a total of 40 virtues, which are not found in "God" or other words.</v>
      </c>
      <c r="D3328" s="7"/>
      <c r="E3328" s="7"/>
      <c r="F3328" s="7"/>
      <c r="G3328" s="7"/>
      <c r="H3328" s="7"/>
      <c r="I3328" s="7"/>
      <c r="J3328" s="7"/>
      <c r="K3328" s="7"/>
      <c r="L3328" s="7"/>
      <c r="M3328" s="7"/>
      <c r="N3328" s="5"/>
      <c r="O3328" s="5"/>
      <c r="P3328" s="5"/>
      <c r="Q3328" s="5"/>
      <c r="R3328" s="5"/>
      <c r="S3328" s="5"/>
      <c r="T3328" s="5"/>
      <c r="U3328" s="5"/>
      <c r="V3328" s="5"/>
      <c r="W3328" s="5"/>
      <c r="X3328" s="5"/>
      <c r="Y3328" s="5"/>
      <c r="Z3328" s="5"/>
    </row>
    <row r="3329" spans="1:26" ht="15.6" x14ac:dyDescent="0.3">
      <c r="A3329" s="18" t="s">
        <v>5</v>
      </c>
      <c r="B3329" s="24" t="s">
        <v>3317</v>
      </c>
      <c r="C3329" s="2" t="str">
        <f ca="1">IFERROR(__xludf.DUMMYFUNCTION("GOOGLETRANSLATE(B3329, ""bn"", ""en"")"),"On 18 October 2021, Hindus were attacked in Pirganj, Rangpur, many houses were burnt, at least 20 people were killed.")</f>
        <v>On 18 October 2021, Hindus were attacked in Pirganj, Rangpur, many houses were burnt, at least 20 people were killed.</v>
      </c>
      <c r="D3329" s="5"/>
      <c r="E3329" s="5"/>
      <c r="F3329" s="5"/>
      <c r="G3329" s="5"/>
      <c r="H3329" s="5"/>
      <c r="I3329" s="5"/>
      <c r="J3329" s="5"/>
      <c r="K3329" s="5"/>
      <c r="L3329" s="5"/>
      <c r="M3329" s="5"/>
      <c r="N3329" s="5"/>
      <c r="O3329" s="5"/>
      <c r="P3329" s="5"/>
      <c r="Q3329" s="5"/>
      <c r="R3329" s="5"/>
      <c r="S3329" s="5"/>
      <c r="T3329" s="5"/>
      <c r="U3329" s="5"/>
      <c r="V3329" s="5"/>
      <c r="W3329" s="5"/>
      <c r="X3329" s="5"/>
      <c r="Y3329" s="5"/>
      <c r="Z3329" s="5"/>
    </row>
    <row r="3330" spans="1:26" ht="15.6" x14ac:dyDescent="0.3">
      <c r="A3330" s="19" t="s">
        <v>5</v>
      </c>
      <c r="B3330" s="26" t="s">
        <v>3318</v>
      </c>
      <c r="C3330" s="2" t="str">
        <f ca="1">IFERROR(__xludf.DUMMYFUNCTION("GOOGLETRANSLATE(B3330, ""bn"", ""en"")"),"In 1561, Protestant Huguenots marched through the streets of Toulouse. Later the Catholics captured some of their leaders and were beaten and burned to death.")</f>
        <v>In 1561, Protestant Huguenots marched through the streets of Toulouse. Later the Catholics captured some of their leaders and were beaten and burned to death.</v>
      </c>
      <c r="D3330" s="7"/>
      <c r="E3330" s="7"/>
      <c r="F3330" s="7"/>
      <c r="G3330" s="7"/>
      <c r="H3330" s="7"/>
      <c r="I3330" s="7"/>
      <c r="J3330" s="7"/>
      <c r="K3330" s="5"/>
      <c r="L3330" s="5"/>
      <c r="M3330" s="5"/>
      <c r="N3330" s="5"/>
      <c r="O3330" s="5"/>
      <c r="P3330" s="5"/>
      <c r="Q3330" s="5"/>
      <c r="R3330" s="5"/>
      <c r="S3330" s="5"/>
      <c r="T3330" s="5"/>
      <c r="U3330" s="5"/>
      <c r="V3330" s="5"/>
      <c r="W3330" s="5"/>
      <c r="X3330" s="5"/>
      <c r="Y3330" s="5"/>
      <c r="Z3330" s="5"/>
    </row>
    <row r="3331" spans="1:26" ht="15.6" x14ac:dyDescent="0.3">
      <c r="A3331" s="19" t="s">
        <v>5</v>
      </c>
      <c r="B3331" s="26" t="s">
        <v>3319</v>
      </c>
      <c r="C3331" s="2" t="str">
        <f ca="1">IFERROR(__xludf.DUMMYFUNCTION("GOOGLETRANSLATE(B3331, ""bn"", ""en"")"),"During the Noakhali Partition, religious riots claimed the lives of millions, a brutal example of communal divisions.")</f>
        <v>During the Noakhali Partition, religious riots claimed the lives of millions, a brutal example of communal divisions.</v>
      </c>
      <c r="D3331" s="5"/>
      <c r="E3331" s="5"/>
      <c r="F3331" s="5"/>
      <c r="G3331" s="5"/>
      <c r="H3331" s="5"/>
      <c r="I3331" s="5"/>
      <c r="J3331" s="5"/>
      <c r="K3331" s="5"/>
      <c r="L3331" s="5"/>
      <c r="M3331" s="5"/>
      <c r="N3331" s="5"/>
      <c r="O3331" s="5"/>
      <c r="P3331" s="5"/>
      <c r="Q3331" s="5"/>
      <c r="R3331" s="5"/>
      <c r="S3331" s="5"/>
      <c r="T3331" s="5"/>
      <c r="U3331" s="5"/>
      <c r="V3331" s="5"/>
      <c r="W3331" s="5"/>
      <c r="X3331" s="5"/>
      <c r="Y3331" s="5"/>
      <c r="Z3331" s="5"/>
    </row>
    <row r="3332" spans="1:26" ht="15.6" x14ac:dyDescent="0.3">
      <c r="A3332" s="18" t="s">
        <v>5</v>
      </c>
      <c r="B3332" s="24" t="s">
        <v>3320</v>
      </c>
      <c r="C3332" s="2" t="str">
        <f ca="1">IFERROR(__xludf.DUMMYFUNCTION("GOOGLETRANSLATE(B3332, ""bn"", ""en"")"),"Clashes broke out during a Hindu puja in May 2013, when rival groups attacked, killing at least 19 people.")</f>
        <v>Clashes broke out during a Hindu puja in May 2013, when rival groups attacked, killing at least 19 people.</v>
      </c>
      <c r="D3332" s="5"/>
      <c r="E3332" s="5"/>
      <c r="F3332" s="5"/>
      <c r="G3332" s="5"/>
      <c r="H3332" s="5"/>
      <c r="I3332" s="5"/>
      <c r="J3332" s="5"/>
      <c r="K3332" s="5"/>
      <c r="L3332" s="5"/>
      <c r="M3332" s="5"/>
      <c r="N3332" s="5"/>
      <c r="O3332" s="5"/>
      <c r="P3332" s="5"/>
      <c r="Q3332" s="5"/>
      <c r="R3332" s="5"/>
      <c r="S3332" s="5"/>
      <c r="T3332" s="5"/>
      <c r="U3332" s="5"/>
      <c r="V3332" s="5"/>
      <c r="W3332" s="5"/>
      <c r="X3332" s="5"/>
      <c r="Y3332" s="5"/>
      <c r="Z3332" s="5"/>
    </row>
    <row r="3333" spans="1:26" ht="15.6" x14ac:dyDescent="0.3">
      <c r="A3333" s="18" t="s">
        <v>3</v>
      </c>
      <c r="B3333" s="25" t="s">
        <v>3321</v>
      </c>
      <c r="C3333" s="2" t="str">
        <f ca="1">IFERROR(__xludf.DUMMYFUNCTION("GOOGLETRANSLATE(B3333, ""bn"", ""en"")"),"Nothing is impossible with Allah. As much as it is asked, Allah continues to give His infinite Niyamah.")</f>
        <v>Nothing is impossible with Allah. As much as it is asked, Allah continues to give His infinite Niyamah.</v>
      </c>
      <c r="D3333" s="5"/>
      <c r="E3333" s="5"/>
      <c r="F3333" s="5"/>
      <c r="G3333" s="5"/>
      <c r="H3333" s="5"/>
      <c r="I3333" s="5"/>
      <c r="J3333" s="5"/>
      <c r="K3333" s="5"/>
      <c r="L3333" s="5"/>
      <c r="M3333" s="5"/>
      <c r="N3333" s="5"/>
      <c r="O3333" s="5"/>
      <c r="P3333" s="5"/>
      <c r="Q3333" s="5"/>
      <c r="R3333" s="5"/>
      <c r="S3333" s="5"/>
      <c r="T3333" s="5"/>
      <c r="U3333" s="5"/>
      <c r="V3333" s="5"/>
      <c r="W3333" s="5"/>
      <c r="X3333" s="5"/>
      <c r="Y3333" s="5"/>
      <c r="Z3333" s="5"/>
    </row>
    <row r="3334" spans="1:26" ht="15.6" x14ac:dyDescent="0.3">
      <c r="A3334" s="18" t="s">
        <v>3</v>
      </c>
      <c r="B3334" s="25" t="s">
        <v>3322</v>
      </c>
      <c r="C3334" s="2" t="str">
        <f ca="1">IFERROR(__xludf.DUMMYFUNCTION("GOOGLETRANSLATE(B3334, ""bn"", ""en"")"),"Hinduism is the second largest religion in Bangladesh. Out of 16.51 crore people, about 1.31 crore identify themselves as Hindus")</f>
        <v>Hinduism is the second largest religion in Bangladesh. Out of 16.51 crore people, about 1.31 crore identify themselves as Hindus</v>
      </c>
      <c r="D3334" s="5"/>
      <c r="E3334" s="5"/>
      <c r="F3334" s="5"/>
      <c r="G3334" s="5"/>
      <c r="H3334" s="5"/>
      <c r="I3334" s="5"/>
      <c r="J3334" s="5"/>
      <c r="K3334" s="5"/>
      <c r="L3334" s="5"/>
      <c r="M3334" s="5"/>
      <c r="N3334" s="5"/>
      <c r="O3334" s="5"/>
      <c r="P3334" s="5"/>
      <c r="Q3334" s="5"/>
      <c r="R3334" s="5"/>
      <c r="S3334" s="5"/>
      <c r="T3334" s="5"/>
      <c r="U3334" s="5"/>
      <c r="V3334" s="5"/>
      <c r="W3334" s="5"/>
      <c r="X3334" s="5"/>
      <c r="Y3334" s="5"/>
      <c r="Z3334" s="5"/>
    </row>
    <row r="3335" spans="1:26" ht="15.6" x14ac:dyDescent="0.3">
      <c r="A3335" s="19" t="s">
        <v>5</v>
      </c>
      <c r="B3335" s="26" t="s">
        <v>3323</v>
      </c>
      <c r="C3335" s="2" t="str">
        <f ca="1">IFERROR(__xludf.DUMMYFUNCTION("GOOGLETRANSLATE(B3335, ""bn"", ""en"")"),"Many people were brutally killed when religious tensions between different communities turned violent.")</f>
        <v>Many people were brutally killed when religious tensions between different communities turned violent.</v>
      </c>
      <c r="D3335" s="5"/>
      <c r="E3335" s="5"/>
      <c r="F3335" s="5"/>
      <c r="G3335" s="5"/>
      <c r="H3335" s="5"/>
      <c r="I3335" s="5"/>
      <c r="J3335" s="5"/>
      <c r="K3335" s="5"/>
      <c r="L3335" s="5"/>
      <c r="M3335" s="5"/>
      <c r="N3335" s="5"/>
      <c r="O3335" s="5"/>
      <c r="P3335" s="5"/>
      <c r="Q3335" s="5"/>
      <c r="R3335" s="5"/>
      <c r="S3335" s="5"/>
      <c r="T3335" s="5"/>
      <c r="U3335" s="5"/>
      <c r="V3335" s="5"/>
      <c r="W3335" s="5"/>
      <c r="X3335" s="5"/>
      <c r="Y3335" s="5"/>
      <c r="Z3335" s="5"/>
    </row>
    <row r="3336" spans="1:26" ht="15.6" x14ac:dyDescent="0.3">
      <c r="A3336" s="18" t="s">
        <v>5</v>
      </c>
      <c r="B3336" s="25" t="s">
        <v>3324</v>
      </c>
      <c r="C3336" s="2" t="str">
        <f ca="1">IFERROR(__xludf.DUMMYFUNCTION("GOOGLETRANSLATE(B3336, ""bn"", ""en"")"),"A man was beaten to death and his body set on fire by hundreds of people incited by religious hatred in Patgram of Lalmonirhat.")</f>
        <v>A man was beaten to death and his body set on fire by hundreds of people incited by religious hatred in Patgram of Lalmonirhat.</v>
      </c>
      <c r="D3336" s="2"/>
      <c r="E3336" s="2"/>
      <c r="F3336" s="2"/>
      <c r="G3336" s="2"/>
      <c r="H3336" s="5"/>
      <c r="I3336" s="5"/>
      <c r="J3336" s="5"/>
      <c r="K3336" s="5"/>
      <c r="L3336" s="5"/>
      <c r="M3336" s="5"/>
      <c r="N3336" s="5"/>
      <c r="O3336" s="5"/>
      <c r="P3336" s="5"/>
      <c r="Q3336" s="5"/>
      <c r="R3336" s="5"/>
      <c r="S3336" s="5"/>
      <c r="T3336" s="5"/>
      <c r="U3336" s="5"/>
      <c r="V3336" s="5"/>
      <c r="W3336" s="5"/>
      <c r="X3336" s="5"/>
      <c r="Y3336" s="5"/>
      <c r="Z3336" s="5"/>
    </row>
    <row r="3337" spans="1:26" ht="15.6" x14ac:dyDescent="0.3">
      <c r="A3337" s="18" t="s">
        <v>3</v>
      </c>
      <c r="B3337" s="25" t="s">
        <v>3325</v>
      </c>
      <c r="C3337" s="2" t="str">
        <f ca="1">IFERROR(__xludf.DUMMYFUNCTION("GOOGLETRANSLATE(B3337, ""bn"", ""en"")"),"No religion should be exaggerated. Avoiding it is good for everyone. He should point out his mistakes and show him the right path, so that others can also learn.")</f>
        <v>No religion should be exaggerated. Avoiding it is good for everyone. He should point out his mistakes and show him the right path, so that others can also learn.</v>
      </c>
      <c r="D3337" s="2"/>
      <c r="E3337" s="2"/>
      <c r="F3337" s="2"/>
      <c r="G3337" s="2"/>
      <c r="H3337" s="3"/>
      <c r="I3337" s="3"/>
      <c r="J3337" s="3"/>
      <c r="K3337" s="3"/>
      <c r="L3337" s="3"/>
      <c r="M3337" s="3"/>
      <c r="N3337" s="3"/>
      <c r="O3337" s="3"/>
      <c r="P3337" s="3"/>
      <c r="Q3337" s="3"/>
      <c r="R3337" s="3"/>
      <c r="S3337" s="3"/>
      <c r="T3337" s="3"/>
      <c r="U3337" s="3"/>
      <c r="V3337" s="3"/>
      <c r="W3337" s="3"/>
      <c r="X3337" s="3"/>
      <c r="Y3337" s="3"/>
      <c r="Z3337" s="3"/>
    </row>
    <row r="3338" spans="1:26" ht="15.6" x14ac:dyDescent="0.3">
      <c r="A3338" s="18" t="s">
        <v>8</v>
      </c>
      <c r="B3338" s="25" t="s">
        <v>3326</v>
      </c>
      <c r="C3338" s="2" t="str">
        <f ca="1">IFERROR(__xludf.DUMMYFUNCTION("GOOGLETRANSLATE(B3338, ""bn"", ""en"")"),"But some kuchkri mahals have created Hindu-Muslim riots by promoting it as mosques are being built on temple land for political gain.")</f>
        <v>But some kuchkri mahals have created Hindu-Muslim riots by promoting it as mosques are being built on temple land for political gain.</v>
      </c>
      <c r="D3338" s="2"/>
      <c r="E3338" s="2"/>
      <c r="F3338" s="2"/>
      <c r="G3338" s="2"/>
      <c r="H3338" s="3"/>
      <c r="I3338" s="3"/>
      <c r="J3338" s="3"/>
      <c r="K3338" s="3"/>
      <c r="L3338" s="3"/>
      <c r="M3338" s="3"/>
      <c r="N3338" s="3"/>
      <c r="O3338" s="3"/>
      <c r="P3338" s="3"/>
      <c r="Q3338" s="3"/>
      <c r="R3338" s="3"/>
      <c r="S3338" s="3"/>
      <c r="T3338" s="3"/>
      <c r="U3338" s="3"/>
      <c r="V3338" s="3"/>
      <c r="W3338" s="3"/>
      <c r="X3338" s="3"/>
      <c r="Y3338" s="3"/>
      <c r="Z3338" s="3"/>
    </row>
    <row r="3339" spans="1:26" ht="15.6" x14ac:dyDescent="0.3">
      <c r="A3339" s="19" t="s">
        <v>3</v>
      </c>
      <c r="B3339" s="26" t="s">
        <v>3327</v>
      </c>
      <c r="C3339" s="2" t="str">
        <f ca="1">IFERROR(__xludf.DUMMYFUNCTION("GOOGLETRANSLATE(B3339, ""bn"", ""en"")"),"A video broke my heart, by Allah, nothing could be more beautiful than this.")</f>
        <v>A video broke my heart, by Allah, nothing could be more beautiful than this.</v>
      </c>
      <c r="D3339" s="7"/>
      <c r="E3339" s="7"/>
      <c r="F3339" s="5"/>
      <c r="G3339" s="5"/>
      <c r="H3339" s="5"/>
      <c r="I3339" s="5"/>
      <c r="J3339" s="5"/>
      <c r="K3339" s="5"/>
      <c r="L3339" s="5"/>
      <c r="M3339" s="5"/>
      <c r="N3339" s="5"/>
      <c r="O3339" s="5"/>
      <c r="P3339" s="5"/>
      <c r="Q3339" s="5"/>
      <c r="R3339" s="5"/>
      <c r="S3339" s="5"/>
      <c r="T3339" s="5"/>
      <c r="U3339" s="5"/>
      <c r="V3339" s="5"/>
      <c r="W3339" s="5"/>
      <c r="X3339" s="5"/>
      <c r="Y3339" s="5"/>
      <c r="Z3339" s="5"/>
    </row>
    <row r="3340" spans="1:26" ht="15.6" x14ac:dyDescent="0.3">
      <c r="A3340" s="18" t="s">
        <v>8</v>
      </c>
      <c r="B3340" s="25" t="s">
        <v>3328</v>
      </c>
      <c r="C3340" s="2" t="str">
        <f ca="1">IFERROR(__xludf.DUMMYFUNCTION("GOOGLETRANSLATE(B3340, ""bn"", ""en"")"),"The attack took place in Ramur, but the Hindu community was attacked here. The complaint is the same old one - anti-Islamic pictures on Facebook.")</f>
        <v>The attack took place in Ramur, but the Hindu community was attacked here. The complaint is the same old one - anti-Islamic pictures on Facebook.</v>
      </c>
      <c r="D3340" s="5"/>
      <c r="E3340" s="5"/>
      <c r="F3340" s="5"/>
      <c r="G3340" s="5"/>
      <c r="H3340" s="5"/>
      <c r="I3340" s="5"/>
      <c r="J3340" s="5"/>
      <c r="K3340" s="5"/>
      <c r="L3340" s="5"/>
      <c r="M3340" s="5"/>
      <c r="N3340" s="5"/>
      <c r="O3340" s="5"/>
      <c r="P3340" s="5"/>
      <c r="Q3340" s="5"/>
      <c r="R3340" s="5"/>
      <c r="S3340" s="5"/>
      <c r="T3340" s="5"/>
      <c r="U3340" s="5"/>
      <c r="V3340" s="5"/>
      <c r="W3340" s="5"/>
      <c r="X3340" s="5"/>
      <c r="Y3340" s="5"/>
      <c r="Z3340" s="5"/>
    </row>
    <row r="3341" spans="1:26" ht="15.6" x14ac:dyDescent="0.3">
      <c r="A3341" s="18" t="s">
        <v>5</v>
      </c>
      <c r="B3341" s="24" t="s">
        <v>3329</v>
      </c>
      <c r="C3341" s="2" t="str">
        <f ca="1">IFERROR(__xludf.DUMMYFUNCTION("GOOGLETRANSLATE(B3341, ""bn"", ""en"")"),"Religious groups harassed workers and unleashed violence against them, killing 12.")</f>
        <v>Religious groups harassed workers and unleashed violence against them, killing 12.</v>
      </c>
      <c r="D3341" s="5"/>
      <c r="E3341" s="5"/>
      <c r="F3341" s="5"/>
      <c r="G3341" s="5"/>
      <c r="H3341" s="5"/>
      <c r="I3341" s="5"/>
      <c r="J3341" s="5"/>
      <c r="K3341" s="5"/>
      <c r="L3341" s="5"/>
      <c r="M3341" s="5"/>
      <c r="N3341" s="5"/>
      <c r="O3341" s="5"/>
      <c r="P3341" s="5"/>
      <c r="Q3341" s="5"/>
      <c r="R3341" s="5"/>
      <c r="S3341" s="5"/>
      <c r="T3341" s="5"/>
      <c r="U3341" s="5"/>
      <c r="V3341" s="5"/>
      <c r="W3341" s="5"/>
      <c r="X3341" s="5"/>
      <c r="Y3341" s="5"/>
      <c r="Z3341" s="5"/>
    </row>
    <row r="3342" spans="1:26" ht="15.6" x14ac:dyDescent="0.3">
      <c r="A3342" s="18" t="s">
        <v>23</v>
      </c>
      <c r="B3342" s="25" t="s">
        <v>3330</v>
      </c>
      <c r="C3342" s="2" t="str">
        <f ca="1">IFERROR(__xludf.DUMMYFUNCTION("GOOGLETRANSLATE(B3342, ""bn"", ""en"")"),"Those who indulge in the dirty game of secularization in the name of secularism need to be resisted in time.")</f>
        <v>Those who indulge in the dirty game of secularization in the name of secularism need to be resisted in time.</v>
      </c>
      <c r="D3342" s="2"/>
      <c r="E3342" s="2"/>
      <c r="F3342" s="2"/>
      <c r="G3342" s="2"/>
      <c r="H3342" s="3"/>
      <c r="I3342" s="3"/>
      <c r="J3342" s="3"/>
      <c r="K3342" s="3"/>
      <c r="L3342" s="3"/>
      <c r="M3342" s="3"/>
      <c r="N3342" s="3"/>
      <c r="O3342" s="3"/>
      <c r="P3342" s="3"/>
      <c r="Q3342" s="3"/>
      <c r="R3342" s="3"/>
      <c r="S3342" s="3"/>
      <c r="T3342" s="3"/>
      <c r="U3342" s="3"/>
      <c r="V3342" s="3"/>
      <c r="W3342" s="3"/>
      <c r="X3342" s="3"/>
      <c r="Y3342" s="3"/>
      <c r="Z3342" s="3"/>
    </row>
    <row r="3343" spans="1:26" ht="15.6" x14ac:dyDescent="0.3">
      <c r="A3343" s="19" t="s">
        <v>8</v>
      </c>
      <c r="B3343" s="26" t="s">
        <v>3331</v>
      </c>
      <c r="C3343" s="2" t="str">
        <f ca="1">IFERROR(__xludf.DUMMYFUNCTION("GOOGLETRANSLATE(B3343, ""bn"", ""en"")"),"On March 17, communal violence broke out at the Radhakant Jiu ISKCON temple during the Holi festival in Wari, Old Dhaka.")</f>
        <v>On March 17, communal violence broke out at the Radhakant Jiu ISKCON temple during the Holi festival in Wari, Old Dhaka.</v>
      </c>
      <c r="D3343" s="7"/>
      <c r="E3343" s="7"/>
      <c r="F3343" s="7"/>
      <c r="G3343" s="7"/>
      <c r="H3343" s="5"/>
      <c r="I3343" s="5"/>
      <c r="J3343" s="5"/>
      <c r="K3343" s="5"/>
      <c r="L3343" s="5"/>
      <c r="M3343" s="5"/>
      <c r="N3343" s="5"/>
      <c r="O3343" s="5"/>
      <c r="P3343" s="5"/>
      <c r="Q3343" s="5"/>
      <c r="R3343" s="5"/>
      <c r="S3343" s="5"/>
      <c r="T3343" s="5"/>
      <c r="U3343" s="5"/>
      <c r="V3343" s="5"/>
      <c r="W3343" s="5"/>
      <c r="X3343" s="5"/>
      <c r="Y3343" s="5"/>
      <c r="Z3343" s="5"/>
    </row>
    <row r="3344" spans="1:26" ht="15.6" x14ac:dyDescent="0.3">
      <c r="A3344" s="18" t="s">
        <v>23</v>
      </c>
      <c r="B3344" s="25" t="s">
        <v>3332</v>
      </c>
      <c r="C3344" s="2" t="str">
        <f ca="1">IFERROR(__xludf.DUMMYFUNCTION("GOOGLETRANSLATE(B3344, ""bn"", ""en"")"),"Sadly, incidents of religious hate attacks in this country remain largely ignored in the media, as if religious violence is now commonplace.")</f>
        <v>Sadly, incidents of religious hate attacks in this country remain largely ignored in the media, as if religious violence is now commonplace.</v>
      </c>
      <c r="D3344" s="5"/>
      <c r="E3344" s="5"/>
      <c r="F3344" s="5"/>
      <c r="G3344" s="5"/>
      <c r="H3344" s="5"/>
      <c r="I3344" s="5"/>
      <c r="J3344" s="5"/>
      <c r="K3344" s="5"/>
      <c r="L3344" s="5"/>
      <c r="M3344" s="5"/>
      <c r="N3344" s="5"/>
      <c r="O3344" s="5"/>
      <c r="P3344" s="5"/>
      <c r="Q3344" s="5"/>
      <c r="R3344" s="5"/>
      <c r="S3344" s="5"/>
      <c r="T3344" s="5"/>
      <c r="U3344" s="5"/>
      <c r="V3344" s="5"/>
      <c r="W3344" s="5"/>
      <c r="X3344" s="5"/>
      <c r="Y3344" s="5"/>
      <c r="Z3344" s="5"/>
    </row>
    <row r="3345" spans="1:26" ht="15.6" x14ac:dyDescent="0.3">
      <c r="A3345" s="18" t="s">
        <v>5</v>
      </c>
      <c r="B3345" s="25" t="s">
        <v>3333</v>
      </c>
      <c r="C3345" s="2" t="str">
        <f ca="1">IFERROR(__xludf.DUMMYFUNCTION("GOOGLETRANSLATE(B3345, ""bn"", ""en"")"),"Hundreds of non-Muslim men were killed on the outskirts of the police station after Hindus and Christians got together.[2] O.C. He himself stripped Hindu women of vermilion and shankha (conch bangles) and forced them to recite the kalma. Later he distribu"&amp;"ted the women among the party leaders.")</f>
        <v>Hundreds of non-Muslim men were killed on the outskirts of the police station after Hindus and Christians got together.[2] O.C. He himself stripped Hindu women of vermilion and shankha (conch bangles) and forced them to recite the kalma. Later he distributed the women among the party leaders.</v>
      </c>
      <c r="D3345" s="5"/>
      <c r="E3345" s="5"/>
      <c r="F3345" s="5"/>
      <c r="G3345" s="5"/>
      <c r="H3345" s="5"/>
      <c r="I3345" s="5"/>
      <c r="J3345" s="5"/>
      <c r="K3345" s="5"/>
      <c r="L3345" s="5"/>
      <c r="M3345" s="5"/>
      <c r="N3345" s="5"/>
      <c r="O3345" s="5"/>
      <c r="P3345" s="5"/>
      <c r="Q3345" s="5"/>
      <c r="R3345" s="5"/>
      <c r="S3345" s="5"/>
      <c r="T3345" s="5"/>
      <c r="U3345" s="5"/>
      <c r="V3345" s="5"/>
      <c r="W3345" s="5"/>
      <c r="X3345" s="5"/>
      <c r="Y3345" s="5"/>
      <c r="Z3345" s="5"/>
    </row>
    <row r="3346" spans="1:26" ht="15.6" x14ac:dyDescent="0.3">
      <c r="A3346" s="18" t="s">
        <v>8</v>
      </c>
      <c r="B3346" s="25" t="s">
        <v>3334</v>
      </c>
      <c r="C3346" s="2" t="str">
        <f ca="1">IFERROR(__xludf.DUMMYFUNCTION("GOOGLETRANSLATE(B3346, ""bn"", ""en"")"),"Massive vandalism of the goddess idols began in Kushtia beginning on September 22, followed by repeated attacks in Jaipurhat, Chittagong and even the capital, Dhaka. On October 12, extremist groups and their supporters launched attacks on Hindu temples, h"&amp;"ouses, and mosques in Comilla on charges of desecration of the Holy Qur'an in a puja mandap by circulating a video on social media.")</f>
        <v>Massive vandalism of the goddess idols began in Kushtia beginning on September 22, followed by repeated attacks in Jaipurhat, Chittagong and even the capital, Dhaka. On October 12, extremist groups and their supporters launched attacks on Hindu temples, houses, and mosques in Comilla on charges of desecration of the Holy Qur'an in a puja mandap by circulating a video on social media.</v>
      </c>
      <c r="D3346" s="5"/>
      <c r="E3346" s="5"/>
      <c r="F3346" s="5"/>
      <c r="G3346" s="5"/>
      <c r="H3346" s="5"/>
      <c r="I3346" s="5"/>
      <c r="J3346" s="5"/>
      <c r="K3346" s="5"/>
      <c r="L3346" s="5"/>
      <c r="M3346" s="5"/>
      <c r="N3346" s="5"/>
      <c r="O3346" s="5"/>
      <c r="P3346" s="5"/>
      <c r="Q3346" s="5"/>
      <c r="R3346" s="5"/>
      <c r="S3346" s="5"/>
      <c r="T3346" s="5"/>
      <c r="U3346" s="5"/>
      <c r="V3346" s="5"/>
      <c r="W3346" s="5"/>
      <c r="X3346" s="5"/>
      <c r="Y3346" s="5"/>
      <c r="Z3346" s="5"/>
    </row>
    <row r="3347" spans="1:26" ht="15.6" x14ac:dyDescent="0.3">
      <c r="A3347" s="18" t="s">
        <v>8</v>
      </c>
      <c r="B3347" s="25" t="s">
        <v>3335</v>
      </c>
      <c r="C3347" s="2" t="str">
        <f ca="1">IFERROR(__xludf.DUMMYFUNCTION("GOOGLETRANSLATE(B3347, ""bn"", ""en"")"),"After the speech of Ghulam Sarwar Hussaini, Muslims looted Hindu shops in the market under Ramganj police station. Muslims attacked the residences of Noakhali Bar President and Hindu Mahasabha leaders Surendranath Bose and Rajendralal Chowdhury.")</f>
        <v>After the speech of Ghulam Sarwar Hussaini, Muslims looted Hindu shops in the market under Ramganj police station. Muslims attacked the residences of Noakhali Bar President and Hindu Mahasabha leaders Surendranath Bose and Rajendralal Chowdhury.</v>
      </c>
      <c r="D3347" s="6"/>
      <c r="E3347" s="6"/>
      <c r="F3347" s="6"/>
      <c r="G3347" s="6"/>
      <c r="H3347" s="3"/>
      <c r="I3347" s="3"/>
      <c r="J3347" s="3"/>
      <c r="K3347" s="3"/>
      <c r="L3347" s="3"/>
      <c r="M3347" s="3"/>
      <c r="N3347" s="3"/>
      <c r="O3347" s="3"/>
      <c r="P3347" s="3"/>
      <c r="Q3347" s="3"/>
      <c r="R3347" s="3"/>
      <c r="S3347" s="3"/>
      <c r="T3347" s="3"/>
      <c r="U3347" s="3"/>
      <c r="V3347" s="3"/>
      <c r="W3347" s="3"/>
      <c r="X3347" s="3"/>
      <c r="Y3347" s="3"/>
      <c r="Z3347" s="3"/>
    </row>
    <row r="3348" spans="1:26" ht="15.6" x14ac:dyDescent="0.3">
      <c r="A3348" s="18" t="s">
        <v>23</v>
      </c>
      <c r="B3348" s="25" t="s">
        <v>3336</v>
      </c>
      <c r="C3348" s="2" t="str">
        <f ca="1">IFERROR(__xludf.DUMMYFUNCTION("GOOGLETRANSLATE(B3348, ""bn"", ""en"")"),"Be careful not to make bad comments about religion and iftar.")</f>
        <v>Be careful not to make bad comments about religion and iftar.</v>
      </c>
      <c r="D3348" s="7"/>
      <c r="E3348" s="7"/>
      <c r="F3348" s="7"/>
      <c r="G3348" s="7"/>
      <c r="H3348" s="5"/>
      <c r="I3348" s="5"/>
      <c r="J3348" s="5"/>
      <c r="K3348" s="5"/>
      <c r="L3348" s="5"/>
      <c r="M3348" s="5"/>
      <c r="N3348" s="5"/>
      <c r="O3348" s="5"/>
      <c r="P3348" s="5"/>
      <c r="Q3348" s="5"/>
      <c r="R3348" s="5"/>
      <c r="S3348" s="5"/>
      <c r="T3348" s="5"/>
      <c r="U3348" s="5"/>
      <c r="V3348" s="5"/>
      <c r="W3348" s="5"/>
      <c r="X3348" s="5"/>
      <c r="Y3348" s="5"/>
      <c r="Z3348" s="5"/>
    </row>
    <row r="3349" spans="1:26" ht="15.6" x14ac:dyDescent="0.3">
      <c r="A3349" s="18" t="s">
        <v>3</v>
      </c>
      <c r="B3349" s="25" t="s">
        <v>3337</v>
      </c>
      <c r="C3349" s="2" t="str">
        <f ca="1">IFERROR(__xludf.DUMMYFUNCTION("GOOGLETRANSLATE(B3349, ""bn"", ""en"")"),"May Allah Almighty forgive us, my dear Habib Kareem (PBUH) grant us the highest station of Jannatul Ferdows, Ameen.")</f>
        <v>May Allah Almighty forgive us, my dear Habib Kareem (PBUH) grant us the highest station of Jannatul Ferdows, Ameen.</v>
      </c>
      <c r="D3349" s="5"/>
      <c r="E3349" s="5"/>
      <c r="F3349" s="5"/>
      <c r="G3349" s="5"/>
      <c r="H3349" s="5"/>
      <c r="I3349" s="5"/>
      <c r="J3349" s="5"/>
      <c r="K3349" s="5"/>
      <c r="L3349" s="5"/>
      <c r="M3349" s="5"/>
      <c r="N3349" s="5"/>
      <c r="O3349" s="5"/>
      <c r="P3349" s="5"/>
      <c r="Q3349" s="5"/>
      <c r="R3349" s="5"/>
      <c r="S3349" s="5"/>
      <c r="T3349" s="5"/>
      <c r="U3349" s="5"/>
      <c r="V3349" s="5"/>
      <c r="W3349" s="5"/>
      <c r="X3349" s="5"/>
      <c r="Y3349" s="5"/>
      <c r="Z3349" s="5"/>
    </row>
    <row r="3350" spans="1:26" ht="15.6" x14ac:dyDescent="0.3">
      <c r="A3350" s="19" t="s">
        <v>5</v>
      </c>
      <c r="B3350" s="26" t="s">
        <v>3338</v>
      </c>
      <c r="C3350" s="2" t="str">
        <f ca="1">IFERROR(__xludf.DUMMYFUNCTION("GOOGLETRANSLATE(B3350, ""bn"", ""en"")"),"During the Christmas holidays, Kui Samaj and VHP activists attacked Christians and their institutions. It turned into a massacre in August 2008 after the assassination of Swami Laxmanananda.")</f>
        <v>During the Christmas holidays, Kui Samaj and VHP activists attacked Christians and their institutions. It turned into a massacre in August 2008 after the assassination of Swami Laxmanananda.</v>
      </c>
      <c r="D3350" s="7"/>
      <c r="E3350" s="7"/>
      <c r="F3350" s="7"/>
      <c r="G3350" s="7"/>
      <c r="H3350" s="7"/>
      <c r="I3350" s="7"/>
      <c r="J3350" s="7"/>
      <c r="K3350" s="7"/>
      <c r="L3350" s="7"/>
      <c r="M3350" s="7"/>
      <c r="N3350" s="5"/>
      <c r="O3350" s="5"/>
      <c r="P3350" s="5"/>
      <c r="Q3350" s="5"/>
      <c r="R3350" s="5"/>
      <c r="S3350" s="5"/>
      <c r="T3350" s="5"/>
      <c r="U3350" s="5"/>
      <c r="V3350" s="5"/>
      <c r="W3350" s="5"/>
      <c r="X3350" s="5"/>
      <c r="Y3350" s="5"/>
      <c r="Z3350" s="5"/>
    </row>
    <row r="3351" spans="1:26" ht="15.6" x14ac:dyDescent="0.3">
      <c r="A3351" s="18" t="s">
        <v>5</v>
      </c>
      <c r="B3351" s="24" t="s">
        <v>3339</v>
      </c>
      <c r="C3351" s="2" t="str">
        <f ca="1">IFERROR(__xludf.DUMMYFUNCTION("GOOGLETRANSLATE(B3351, ""bn"", ""en"")"),"The state revokes the citizenship of people of a religious community, leaving them destitute and refugees; 57 died of poverty and disease.")</f>
        <v>The state revokes the citizenship of people of a religious community, leaving them destitute and refugees; 57 died of poverty and disease.</v>
      </c>
      <c r="D3351" s="5"/>
      <c r="E3351" s="5"/>
      <c r="F3351" s="5"/>
      <c r="G3351" s="5"/>
      <c r="H3351" s="5"/>
      <c r="I3351" s="5"/>
      <c r="J3351" s="5"/>
      <c r="K3351" s="5"/>
      <c r="L3351" s="5"/>
      <c r="M3351" s="5"/>
      <c r="N3351" s="5"/>
      <c r="O3351" s="5"/>
      <c r="P3351" s="5"/>
      <c r="Q3351" s="5"/>
      <c r="R3351" s="5"/>
      <c r="S3351" s="5"/>
      <c r="T3351" s="5"/>
      <c r="U3351" s="5"/>
      <c r="V3351" s="5"/>
      <c r="W3351" s="5"/>
      <c r="X3351" s="5"/>
      <c r="Y3351" s="5"/>
      <c r="Z3351" s="5"/>
    </row>
    <row r="3352" spans="1:26" ht="15.6" x14ac:dyDescent="0.3">
      <c r="A3352" s="18" t="s">
        <v>8</v>
      </c>
      <c r="B3352" s="24" t="s">
        <v>3340</v>
      </c>
      <c r="C3352" s="2" t="str">
        <f ca="1">IFERROR(__xludf.DUMMYFUNCTION("GOOGLETRANSLATE(B3352, ""bn"", ""en"")"),"In Faridpur, on the eve of the religious ceremony, the temple was set on fire and all the puja items, including the idols, were destroyed.")</f>
        <v>In Faridpur, on the eve of the religious ceremony, the temple was set on fire and all the puja items, including the idols, were destroyed.</v>
      </c>
      <c r="D3352" s="5"/>
      <c r="E3352" s="5"/>
      <c r="F3352" s="5"/>
      <c r="G3352" s="5"/>
      <c r="H3352" s="5"/>
      <c r="I3352" s="5"/>
      <c r="J3352" s="5"/>
      <c r="K3352" s="5"/>
      <c r="L3352" s="5"/>
      <c r="M3352" s="5"/>
      <c r="N3352" s="5"/>
      <c r="O3352" s="5"/>
      <c r="P3352" s="5"/>
      <c r="Q3352" s="5"/>
      <c r="R3352" s="5"/>
      <c r="S3352" s="5"/>
      <c r="T3352" s="5"/>
      <c r="U3352" s="5"/>
      <c r="V3352" s="5"/>
      <c r="W3352" s="5"/>
      <c r="X3352" s="5"/>
      <c r="Y3352" s="5"/>
      <c r="Z3352" s="5"/>
    </row>
    <row r="3353" spans="1:26" ht="15.6" x14ac:dyDescent="0.3">
      <c r="A3353" s="19" t="s">
        <v>3</v>
      </c>
      <c r="B3353" s="26" t="s">
        <v>3341</v>
      </c>
      <c r="C3353" s="2" t="str">
        <f ca="1">IFERROR(__xludf.DUMMYFUNCTION("GOOGLETRANSLATE(B3353, ""bn"", ""en"")"),"We all followers of Hindu, Muslim, Buddhist, Christian and other religions want to live happily and peacefully shoulder to shoulder by maintaining communal harmony with all religions and want to move our Sonar Bangla forward.")</f>
        <v>We all followers of Hindu, Muslim, Buddhist, Christian and other religions want to live happily and peacefully shoulder to shoulder by maintaining communal harmony with all religions and want to move our Sonar Bangla forward.</v>
      </c>
      <c r="D3353" s="5"/>
      <c r="E3353" s="5"/>
      <c r="F3353" s="5"/>
      <c r="G3353" s="5"/>
      <c r="H3353" s="5"/>
      <c r="I3353" s="5"/>
      <c r="J3353" s="5"/>
      <c r="K3353" s="5"/>
      <c r="L3353" s="5"/>
      <c r="M3353" s="5"/>
      <c r="N3353" s="5"/>
      <c r="O3353" s="5"/>
      <c r="P3353" s="5"/>
      <c r="Q3353" s="5"/>
      <c r="R3353" s="5"/>
      <c r="S3353" s="5"/>
      <c r="T3353" s="5"/>
      <c r="U3353" s="5"/>
      <c r="V3353" s="5"/>
      <c r="W3353" s="5"/>
      <c r="X3353" s="5"/>
      <c r="Y3353" s="5"/>
      <c r="Z3353" s="5"/>
    </row>
    <row r="3354" spans="1:26" ht="15.6" x14ac:dyDescent="0.3">
      <c r="A3354" s="18" t="s">
        <v>23</v>
      </c>
      <c r="B3354" s="25" t="s">
        <v>3342</v>
      </c>
      <c r="C3354" s="2" t="str">
        <f ca="1">IFERROR(__xludf.DUMMYFUNCTION("GOOGLETRANSLATE(B3354, ""bn"", ""en"")"),"Shame on you for insulting our Holy Quran. Thank you Erdoğan")</f>
        <v>Shame on you for insulting our Holy Quran. Thank you Erdoğan</v>
      </c>
      <c r="D3354" s="5"/>
      <c r="E3354" s="5"/>
      <c r="F3354" s="5"/>
      <c r="G3354" s="5"/>
      <c r="H3354" s="5"/>
      <c r="I3354" s="5"/>
      <c r="J3354" s="5"/>
      <c r="K3354" s="5"/>
      <c r="L3354" s="5"/>
      <c r="M3354" s="5"/>
      <c r="N3354" s="5"/>
      <c r="O3354" s="5"/>
      <c r="P3354" s="5"/>
      <c r="Q3354" s="5"/>
      <c r="R3354" s="5"/>
      <c r="S3354" s="5"/>
      <c r="T3354" s="5"/>
      <c r="U3354" s="5"/>
      <c r="V3354" s="5"/>
      <c r="W3354" s="5"/>
      <c r="X3354" s="5"/>
      <c r="Y3354" s="5"/>
      <c r="Z3354" s="5"/>
    </row>
    <row r="3355" spans="1:26" ht="15.6" x14ac:dyDescent="0.3">
      <c r="A3355" s="18" t="s">
        <v>3</v>
      </c>
      <c r="B3355" s="24" t="s">
        <v>3343</v>
      </c>
      <c r="C3355" s="2" t="str">
        <f ca="1">IFERROR(__xludf.DUMMYFUNCTION("GOOGLETRANSLATE(B3355, ""bn"", ""en"")"),"Every religion says to love children and respect the elderly.")</f>
        <v>Every religion says to love children and respect the elderly.</v>
      </c>
      <c r="D3355" s="5"/>
      <c r="E3355" s="5"/>
      <c r="F3355" s="5"/>
      <c r="G3355" s="5"/>
      <c r="H3355" s="5"/>
      <c r="I3355" s="5"/>
      <c r="J3355" s="5"/>
      <c r="K3355" s="5"/>
      <c r="L3355" s="5"/>
      <c r="M3355" s="5"/>
      <c r="N3355" s="5"/>
      <c r="O3355" s="5"/>
      <c r="P3355" s="5"/>
      <c r="Q3355" s="5"/>
      <c r="R3355" s="5"/>
      <c r="S3355" s="5"/>
      <c r="T3355" s="5"/>
      <c r="U3355" s="5"/>
      <c r="V3355" s="5"/>
      <c r="W3355" s="5"/>
      <c r="X3355" s="5"/>
      <c r="Y3355" s="5"/>
      <c r="Z3355" s="5"/>
    </row>
    <row r="3356" spans="1:26" ht="15.6" x14ac:dyDescent="0.3">
      <c r="A3356" s="18" t="s">
        <v>23</v>
      </c>
      <c r="B3356" s="25" t="s">
        <v>3344</v>
      </c>
      <c r="C3356" s="2" t="str">
        <f ca="1">IFERROR(__xludf.DUMMYFUNCTION("GOOGLETRANSLATE(B3356, ""bn"", ""en"")"),"Awami League's move is that they are inciting religious riots and because of this they will slowly try to eliminate Islam as the state religion, so Muslims should be careful.")</f>
        <v>Awami League's move is that they are inciting religious riots and because of this they will slowly try to eliminate Islam as the state religion, so Muslims should be careful.</v>
      </c>
      <c r="D3356" s="2"/>
      <c r="E3356" s="2"/>
      <c r="F3356" s="2"/>
      <c r="G3356" s="2"/>
      <c r="H3356" s="3"/>
      <c r="I3356" s="3"/>
      <c r="J3356" s="3"/>
      <c r="K3356" s="3"/>
      <c r="L3356" s="3"/>
      <c r="M3356" s="3"/>
      <c r="N3356" s="3"/>
      <c r="O3356" s="3"/>
      <c r="P3356" s="3"/>
      <c r="Q3356" s="3"/>
      <c r="R3356" s="3"/>
      <c r="S3356" s="3"/>
      <c r="T3356" s="3"/>
      <c r="U3356" s="3"/>
      <c r="V3356" s="3"/>
      <c r="W3356" s="3"/>
      <c r="X3356" s="3"/>
      <c r="Y3356" s="3"/>
      <c r="Z3356" s="3"/>
    </row>
    <row r="3357" spans="1:26" ht="15.6" x14ac:dyDescent="0.3">
      <c r="A3357" s="18" t="s">
        <v>5</v>
      </c>
      <c r="B3357" s="25" t="s">
        <v>3345</v>
      </c>
      <c r="C3357" s="2" t="str">
        <f ca="1">IFERROR(__xludf.DUMMYFUNCTION("GOOGLETRANSLATE(B3357, ""bn"", ""en"")"),"On 12th February the Hindu massacre started in Chittagong. The Hindu neighborhoods were burning. Chatgaon, Noapara, Chowdhury Hat, Patia, Boalkhali, Sitakunday Hindus were massacred.")</f>
        <v>On 12th February the Hindu massacre started in Chittagong. The Hindu neighborhoods were burning. Chatgaon, Noapara, Chowdhury Hat, Patia, Boalkhali, Sitakunday Hindus were massacred.</v>
      </c>
      <c r="D3357" s="2"/>
      <c r="E3357" s="2"/>
      <c r="F3357" s="2"/>
      <c r="G3357" s="2"/>
      <c r="H3357" s="3"/>
      <c r="I3357" s="3"/>
      <c r="J3357" s="3"/>
      <c r="K3357" s="3"/>
      <c r="L3357" s="3"/>
      <c r="M3357" s="3"/>
      <c r="N3357" s="3"/>
      <c r="O3357" s="3"/>
      <c r="P3357" s="3"/>
      <c r="Q3357" s="3"/>
      <c r="R3357" s="3"/>
      <c r="S3357" s="3"/>
      <c r="T3357" s="3"/>
      <c r="U3357" s="3"/>
      <c r="V3357" s="3"/>
      <c r="W3357" s="3"/>
      <c r="X3357" s="3"/>
      <c r="Y3357" s="3"/>
      <c r="Z3357" s="3"/>
    </row>
    <row r="3358" spans="1:26" ht="15.6" x14ac:dyDescent="0.3">
      <c r="A3358" s="18" t="s">
        <v>8</v>
      </c>
      <c r="B3358" s="25" t="s">
        <v>3346</v>
      </c>
      <c r="C3358" s="2" t="str">
        <f ca="1">IFERROR(__xludf.DUMMYFUNCTION("GOOGLETRANSLATE(B3358, ""bn"", ""en"")"),"How could extremist groups come together to carry out such medieval rampages using mosque microphones despite the surveillance of the administration.[")</f>
        <v>How could extremist groups come together to carry out such medieval rampages using mosque microphones despite the surveillance of the administration.[</v>
      </c>
      <c r="D3358" s="2"/>
      <c r="E3358" s="2"/>
      <c r="F3358" s="2"/>
      <c r="G3358" s="2"/>
      <c r="H3358" s="3"/>
      <c r="I3358" s="3"/>
      <c r="J3358" s="3"/>
      <c r="K3358" s="3"/>
      <c r="L3358" s="3"/>
      <c r="M3358" s="3"/>
      <c r="N3358" s="3"/>
      <c r="O3358" s="3"/>
      <c r="P3358" s="3"/>
      <c r="Q3358" s="3"/>
      <c r="R3358" s="3"/>
      <c r="S3358" s="3"/>
      <c r="T3358" s="3"/>
      <c r="U3358" s="3"/>
      <c r="V3358" s="3"/>
      <c r="W3358" s="3"/>
      <c r="X3358" s="3"/>
      <c r="Y3358" s="3"/>
      <c r="Z3358" s="3"/>
    </row>
    <row r="3359" spans="1:26" ht="15.6" x14ac:dyDescent="0.3">
      <c r="A3359" s="18" t="s">
        <v>5</v>
      </c>
      <c r="B3359" s="24" t="s">
        <v>3347</v>
      </c>
      <c r="C3359" s="2" t="str">
        <f ca="1">IFERROR(__xludf.DUMMYFUNCTION("GOOGLETRANSLATE(B3359, ""bn"", ""en"")"),"In January 2021, a group of religious fanatics killed a journalist and 10 people were killed during protests.")</f>
        <v>In January 2021, a group of religious fanatics killed a journalist and 10 people were killed during protests.</v>
      </c>
      <c r="D3359" s="5"/>
      <c r="E3359" s="5"/>
      <c r="F3359" s="5"/>
      <c r="G3359" s="5"/>
      <c r="H3359" s="5"/>
      <c r="I3359" s="5"/>
      <c r="J3359" s="5"/>
      <c r="K3359" s="5"/>
      <c r="L3359" s="5"/>
      <c r="M3359" s="5"/>
      <c r="N3359" s="5"/>
      <c r="O3359" s="5"/>
      <c r="P3359" s="5"/>
      <c r="Q3359" s="5"/>
      <c r="R3359" s="5"/>
      <c r="S3359" s="5"/>
      <c r="T3359" s="5"/>
      <c r="U3359" s="5"/>
      <c r="V3359" s="5"/>
      <c r="W3359" s="5"/>
      <c r="X3359" s="5"/>
      <c r="Y3359" s="5"/>
      <c r="Z3359" s="5"/>
    </row>
    <row r="3360" spans="1:26" ht="15.6" x14ac:dyDescent="0.3">
      <c r="A3360" s="18" t="s">
        <v>5</v>
      </c>
      <c r="B3360" s="24" t="s">
        <v>3348</v>
      </c>
      <c r="C3360" s="2" t="str">
        <f ca="1">IFERROR(__xludf.DUMMYFUNCTION("GOOGLETRANSLATE(B3360, ""bn"", ""en"")"),"In August 2019, 31 people were killed in riots at a Christian community's educational institution due to religious hatred.")</f>
        <v>In August 2019, 31 people were killed in riots at a Christian community's educational institution due to religious hatred.</v>
      </c>
      <c r="D3360" s="5"/>
      <c r="E3360" s="5"/>
      <c r="F3360" s="5"/>
      <c r="G3360" s="5"/>
      <c r="H3360" s="5"/>
      <c r="I3360" s="5"/>
      <c r="J3360" s="5"/>
      <c r="K3360" s="5"/>
      <c r="L3360" s="5"/>
      <c r="M3360" s="5"/>
      <c r="N3360" s="5"/>
      <c r="O3360" s="5"/>
      <c r="P3360" s="5"/>
      <c r="Q3360" s="5"/>
      <c r="R3360" s="5"/>
      <c r="S3360" s="5"/>
      <c r="T3360" s="5"/>
      <c r="U3360" s="5"/>
      <c r="V3360" s="5"/>
      <c r="W3360" s="5"/>
      <c r="X3360" s="5"/>
      <c r="Y3360" s="5"/>
      <c r="Z3360" s="5"/>
    </row>
    <row r="3361" spans="1:26" ht="15.6" x14ac:dyDescent="0.3">
      <c r="A3361" s="18" t="s">
        <v>3</v>
      </c>
      <c r="B3361" s="25" t="s">
        <v>3349</v>
      </c>
      <c r="C3361" s="2" t="str">
        <f ca="1">IFERROR(__xludf.DUMMYFUNCTION("GOOGLETRANSLATE(B3361, ""bn"", ""en"")"),"Let us follow the religious precepts and invite others to the religion of eternal truth in harmony with nature.")</f>
        <v>Let us follow the religious precepts and invite others to the religion of eternal truth in harmony with nature.</v>
      </c>
      <c r="D3361" s="5"/>
      <c r="E3361" s="5"/>
      <c r="F3361" s="5"/>
      <c r="G3361" s="5"/>
      <c r="H3361" s="5"/>
      <c r="I3361" s="5"/>
      <c r="J3361" s="5"/>
      <c r="K3361" s="5"/>
      <c r="L3361" s="5"/>
      <c r="M3361" s="5"/>
      <c r="N3361" s="5"/>
      <c r="O3361" s="5"/>
      <c r="P3361" s="5"/>
      <c r="Q3361" s="5"/>
      <c r="R3361" s="5"/>
      <c r="S3361" s="5"/>
      <c r="T3361" s="5"/>
      <c r="U3361" s="5"/>
      <c r="V3361" s="5"/>
      <c r="W3361" s="5"/>
      <c r="X3361" s="5"/>
      <c r="Y3361" s="5"/>
      <c r="Z3361" s="5"/>
    </row>
    <row r="3362" spans="1:26" ht="15.6" x14ac:dyDescent="0.3">
      <c r="A3362" s="18" t="s">
        <v>5</v>
      </c>
      <c r="B3362" s="24" t="s">
        <v>3350</v>
      </c>
      <c r="C3362" s="2" t="str">
        <f ca="1">IFERROR(__xludf.DUMMYFUNCTION("GOOGLETRANSLATE(B3362, ""bn"", ""en"")"),"In Pirojpur, the long-standing conflict between the Hindu and Muslim communities turned into a clash. At least 37 people lost their lives and many houses were burnt in the clashes.")</f>
        <v>In Pirojpur, the long-standing conflict between the Hindu and Muslim communities turned into a clash. At least 37 people lost their lives and many houses were burnt in the clashes.</v>
      </c>
      <c r="D3362" s="5"/>
      <c r="E3362" s="5"/>
      <c r="F3362" s="5"/>
      <c r="G3362" s="5"/>
      <c r="H3362" s="5"/>
      <c r="I3362" s="5"/>
      <c r="J3362" s="5"/>
      <c r="K3362" s="5"/>
      <c r="L3362" s="5"/>
      <c r="M3362" s="5"/>
      <c r="N3362" s="5"/>
      <c r="O3362" s="5"/>
      <c r="P3362" s="5"/>
      <c r="Q3362" s="5"/>
      <c r="R3362" s="5"/>
      <c r="S3362" s="5"/>
      <c r="T3362" s="5"/>
      <c r="U3362" s="5"/>
      <c r="V3362" s="5"/>
      <c r="W3362" s="5"/>
      <c r="X3362" s="5"/>
      <c r="Y3362" s="5"/>
      <c r="Z3362" s="5"/>
    </row>
    <row r="3363" spans="1:26" ht="15.6" x14ac:dyDescent="0.3">
      <c r="A3363" s="18" t="s">
        <v>23</v>
      </c>
      <c r="B3363" s="25" t="s">
        <v>3351</v>
      </c>
      <c r="C3363" s="2" t="str">
        <f ca="1">IFERROR(__xludf.DUMMYFUNCTION("GOOGLETRANSLATE(B3363, ""bn"", ""en"")"),"Those who clean up the men in concert with those doing such wrongdoing, are undoubtedly heretics.")</f>
        <v>Those who clean up the men in concert with those doing such wrongdoing, are undoubtedly heretics.</v>
      </c>
      <c r="D3363" s="2"/>
      <c r="E3363" s="2"/>
      <c r="F3363" s="2"/>
      <c r="G3363" s="2"/>
      <c r="H3363" s="5"/>
      <c r="I3363" s="5"/>
      <c r="J3363" s="5"/>
      <c r="K3363" s="5"/>
      <c r="L3363" s="5"/>
      <c r="M3363" s="5"/>
      <c r="N3363" s="5"/>
      <c r="O3363" s="5"/>
      <c r="P3363" s="5"/>
      <c r="Q3363" s="5"/>
      <c r="R3363" s="5"/>
      <c r="S3363" s="5"/>
      <c r="T3363" s="5"/>
      <c r="U3363" s="5"/>
      <c r="V3363" s="5"/>
      <c r="W3363" s="5"/>
      <c r="X3363" s="5"/>
      <c r="Y3363" s="5"/>
      <c r="Z3363" s="5"/>
    </row>
    <row r="3364" spans="1:26" ht="15.6" x14ac:dyDescent="0.3">
      <c r="A3364" s="18" t="s">
        <v>3</v>
      </c>
      <c r="B3364" s="25" t="s">
        <v>3352</v>
      </c>
      <c r="C3364" s="2" t="str">
        <f ca="1">IFERROR(__xludf.DUMMYFUNCTION("GOOGLETRANSLATE(B3364, ""bn"", ""en"")"),"If you want to say something to Allah then pray. If you want Allah to tell you something then read Quran.")</f>
        <v>If you want to say something to Allah then pray. If you want Allah to tell you something then read Quran.</v>
      </c>
      <c r="D3364" s="5"/>
      <c r="E3364" s="5"/>
      <c r="F3364" s="5"/>
      <c r="G3364" s="5"/>
      <c r="H3364" s="5"/>
      <c r="I3364" s="5"/>
      <c r="J3364" s="5"/>
      <c r="K3364" s="5"/>
      <c r="L3364" s="5"/>
      <c r="M3364" s="5"/>
      <c r="N3364" s="5"/>
      <c r="O3364" s="5"/>
      <c r="P3364" s="5"/>
      <c r="Q3364" s="5"/>
      <c r="R3364" s="5"/>
      <c r="S3364" s="5"/>
      <c r="T3364" s="5"/>
      <c r="U3364" s="5"/>
      <c r="V3364" s="5"/>
      <c r="W3364" s="5"/>
      <c r="X3364" s="5"/>
      <c r="Y3364" s="5"/>
      <c r="Z3364" s="5"/>
    </row>
    <row r="3365" spans="1:26" ht="15.6" x14ac:dyDescent="0.3">
      <c r="A3365" s="19" t="s">
        <v>3</v>
      </c>
      <c r="B3365" s="26" t="s">
        <v>3353</v>
      </c>
      <c r="C3365" s="2" t="str">
        <f ca="1">IFERROR(__xludf.DUMMYFUNCTION("GOOGLETRANSLATE(B3365, ""bn"", ""en"")"),"Aggrieved Shyamal Kanti devotees want an end to excesses and politics over religion.")</f>
        <v>Aggrieved Shyamal Kanti devotees want an end to excesses and politics over religion.</v>
      </c>
      <c r="D3365" s="5"/>
      <c r="E3365" s="5"/>
      <c r="F3365" s="5"/>
      <c r="G3365" s="5"/>
      <c r="H3365" s="5"/>
      <c r="I3365" s="5"/>
      <c r="J3365" s="5"/>
      <c r="K3365" s="5"/>
      <c r="L3365" s="5"/>
      <c r="M3365" s="5"/>
      <c r="N3365" s="5"/>
      <c r="O3365" s="5"/>
      <c r="P3365" s="5"/>
      <c r="Q3365" s="5"/>
      <c r="R3365" s="5"/>
      <c r="S3365" s="5"/>
      <c r="T3365" s="5"/>
      <c r="U3365" s="5"/>
      <c r="V3365" s="5"/>
      <c r="W3365" s="5"/>
      <c r="X3365" s="5"/>
      <c r="Y3365" s="5"/>
      <c r="Z3365" s="5"/>
    </row>
    <row r="3366" spans="1:26" ht="15.6" x14ac:dyDescent="0.3">
      <c r="A3366" s="18" t="s">
        <v>3</v>
      </c>
      <c r="B3366" s="25" t="s">
        <v>3354</v>
      </c>
      <c r="C3366" s="2" t="str">
        <f ca="1">IFERROR(__xludf.DUMMYFUNCTION("GOOGLETRANSLATE(B3366, ""bn"", ""en"")"),"Six philosophical branches exist within mainstream Hindu philosophy, collectively known as the Shadarshanas. These are: Sankhya, Yoga, Nyaya, Vaisesika, Mimamsa and Vedanta. [1] Shadarshan is also called theistic philosophy as it accepts the authority of "&amp;"the Vedas.[")</f>
        <v>Six philosophical branches exist within mainstream Hindu philosophy, collectively known as the Shadarshanas. These are: Sankhya, Yoga, Nyaya, Vaisesika, Mimamsa and Vedanta. [1] Shadarshan is also called theistic philosophy as it accepts the authority of the Vedas.[</v>
      </c>
      <c r="D3366" s="2"/>
      <c r="E3366" s="2"/>
      <c r="F3366" s="2"/>
      <c r="G3366" s="2"/>
      <c r="H3366" s="3"/>
      <c r="I3366" s="3"/>
      <c r="J3366" s="3"/>
      <c r="K3366" s="3"/>
      <c r="L3366" s="3"/>
      <c r="M3366" s="3"/>
      <c r="N3366" s="3"/>
      <c r="O3366" s="3"/>
      <c r="P3366" s="3"/>
      <c r="Q3366" s="3"/>
      <c r="R3366" s="3"/>
      <c r="S3366" s="3"/>
      <c r="T3366" s="3"/>
      <c r="U3366" s="3"/>
      <c r="V3366" s="3"/>
      <c r="W3366" s="3"/>
      <c r="X3366" s="3"/>
      <c r="Y3366" s="3"/>
      <c r="Z3366" s="3"/>
    </row>
    <row r="3367" spans="1:26" ht="15.6" x14ac:dyDescent="0.3">
      <c r="A3367" s="19" t="s">
        <v>23</v>
      </c>
      <c r="B3367" s="26" t="s">
        <v>3355</v>
      </c>
      <c r="C3367" s="2" t="str">
        <f ca="1">IFERROR(__xludf.DUMMYFUNCTION("GOOGLETRANSLATE(B3367, ""bn"", ""en"")"),"Human rights activists said that the violent incidents that were discussed several times before by spreading rumors of insulting religion were not prosecuted. That is why they have doubts about how effective the government's announcement will be.")</f>
        <v>Human rights activists said that the violent incidents that were discussed several times before by spreading rumors of insulting religion were not prosecuted. That is why they have doubts about how effective the government's announcement will be.</v>
      </c>
      <c r="D3367" s="5"/>
      <c r="E3367" s="5"/>
      <c r="F3367" s="5"/>
      <c r="G3367" s="5"/>
      <c r="H3367" s="5"/>
      <c r="I3367" s="5"/>
      <c r="J3367" s="5"/>
      <c r="K3367" s="5"/>
      <c r="L3367" s="5"/>
      <c r="M3367" s="5"/>
      <c r="N3367" s="5"/>
      <c r="O3367" s="5"/>
      <c r="P3367" s="5"/>
      <c r="Q3367" s="5"/>
      <c r="R3367" s="5"/>
      <c r="S3367" s="5"/>
      <c r="T3367" s="5"/>
      <c r="U3367" s="5"/>
      <c r="V3367" s="5"/>
      <c r="W3367" s="5"/>
      <c r="X3367" s="5"/>
      <c r="Y3367" s="5"/>
      <c r="Z3367" s="5"/>
    </row>
    <row r="3368" spans="1:26" ht="15.6" x14ac:dyDescent="0.3">
      <c r="A3368" s="18" t="s">
        <v>5</v>
      </c>
      <c r="B3368" s="25" t="s">
        <v>3356</v>
      </c>
      <c r="C3368" s="2" t="str">
        <f ca="1">IFERROR(__xludf.DUMMYFUNCTION("GOOGLETRANSLATE(B3368, ""bn"", ""en"")"),"Against the background of communal tension, the protest turned into a massive riot in Dhaka. In just 72 hours, more than 4,000 people lost their lives and 100,000 residents were left homeless.")</f>
        <v>Against the background of communal tension, the protest turned into a massive riot in Dhaka. In just 72 hours, more than 4,000 people lost their lives and 100,000 residents were left homeless.</v>
      </c>
      <c r="D3368" s="2"/>
      <c r="E3368" s="2"/>
      <c r="F3368" s="2"/>
      <c r="G3368" s="2"/>
      <c r="H3368" s="3"/>
      <c r="I3368" s="3"/>
      <c r="J3368" s="3"/>
      <c r="K3368" s="3"/>
      <c r="L3368" s="3"/>
      <c r="M3368" s="3"/>
      <c r="N3368" s="3"/>
      <c r="O3368" s="3"/>
      <c r="P3368" s="3"/>
      <c r="Q3368" s="3"/>
      <c r="R3368" s="3"/>
      <c r="S3368" s="3"/>
      <c r="T3368" s="3"/>
      <c r="U3368" s="3"/>
      <c r="V3368" s="3"/>
      <c r="W3368" s="3"/>
      <c r="X3368" s="3"/>
      <c r="Y3368" s="3"/>
      <c r="Z3368" s="3"/>
    </row>
    <row r="3369" spans="1:26" ht="15.6" x14ac:dyDescent="0.3">
      <c r="A3369" s="19" t="s">
        <v>3</v>
      </c>
      <c r="B3369" s="26" t="s">
        <v>3357</v>
      </c>
      <c r="C3369" s="2" t="str">
        <f ca="1">IFERROR(__xludf.DUMMYFUNCTION("GOOGLETRANSLATE(B3369, ""bn"", ""en"")"),"Noakhali has always respected and valued every religion. At the same time, Bangladesh also cares enough.")</f>
        <v>Noakhali has always respected and valued every religion. At the same time, Bangladesh also cares enough.</v>
      </c>
      <c r="D3369" s="5"/>
      <c r="E3369" s="5"/>
      <c r="F3369" s="5"/>
      <c r="G3369" s="5"/>
      <c r="H3369" s="5"/>
      <c r="I3369" s="5"/>
      <c r="J3369" s="5"/>
      <c r="K3369" s="5"/>
      <c r="L3369" s="5"/>
      <c r="M3369" s="5"/>
      <c r="N3369" s="5"/>
      <c r="O3369" s="5"/>
      <c r="P3369" s="5"/>
      <c r="Q3369" s="5"/>
      <c r="R3369" s="5"/>
      <c r="S3369" s="5"/>
      <c r="T3369" s="5"/>
      <c r="U3369" s="5"/>
      <c r="V3369" s="5"/>
      <c r="W3369" s="5"/>
      <c r="X3369" s="5"/>
      <c r="Y3369" s="5"/>
      <c r="Z3369" s="5"/>
    </row>
    <row r="3370" spans="1:26" ht="15.6" x14ac:dyDescent="0.3">
      <c r="A3370" s="18" t="s">
        <v>5</v>
      </c>
      <c r="B3370" s="24" t="s">
        <v>3358</v>
      </c>
      <c r="C3370" s="2" t="str">
        <f ca="1">IFERROR(__xludf.DUMMYFUNCTION("GOOGLETRANSLATE(B3370, ""bn"", ""en"")"),"At least 42 people were killed in an attack on a minority community in Naogaon due to religious conflict.")</f>
        <v>At least 42 people were killed in an attack on a minority community in Naogaon due to religious conflict.</v>
      </c>
      <c r="D3370" s="5"/>
      <c r="E3370" s="5"/>
      <c r="F3370" s="5"/>
      <c r="G3370" s="5"/>
      <c r="H3370" s="5"/>
      <c r="I3370" s="5"/>
      <c r="J3370" s="5"/>
      <c r="K3370" s="5"/>
      <c r="L3370" s="5"/>
      <c r="M3370" s="5"/>
      <c r="N3370" s="5"/>
      <c r="O3370" s="5"/>
      <c r="P3370" s="5"/>
      <c r="Q3370" s="5"/>
      <c r="R3370" s="5"/>
      <c r="S3370" s="5"/>
      <c r="T3370" s="5"/>
      <c r="U3370" s="5"/>
      <c r="V3370" s="5"/>
      <c r="W3370" s="5"/>
      <c r="X3370" s="5"/>
      <c r="Y3370" s="5"/>
      <c r="Z3370" s="5"/>
    </row>
    <row r="3371" spans="1:26" ht="15.6" x14ac:dyDescent="0.3">
      <c r="A3371" s="18" t="s">
        <v>23</v>
      </c>
      <c r="B3371" s="25" t="s">
        <v>3359</v>
      </c>
      <c r="C3371" s="2" t="str">
        <f ca="1">IFERROR(__xludf.DUMMYFUNCTION("GOOGLETRANSLATE(B3371, ""bn"", ""en"")"),"He cannot tolerate a Muslim like Munawar, this is his personal interest and an attempt to save the mind of the staunch Hindu Brosenas.")</f>
        <v>He cannot tolerate a Muslim like Munawar, this is his personal interest and an attempt to save the mind of the staunch Hindu Brosenas.</v>
      </c>
      <c r="D3371" s="2"/>
      <c r="E3371" s="2"/>
      <c r="F3371" s="2"/>
      <c r="G3371" s="2"/>
      <c r="H3371" s="3"/>
      <c r="I3371" s="3"/>
      <c r="J3371" s="3"/>
      <c r="K3371" s="3"/>
      <c r="L3371" s="3"/>
      <c r="M3371" s="3"/>
      <c r="N3371" s="3"/>
      <c r="O3371" s="3"/>
      <c r="P3371" s="3"/>
      <c r="Q3371" s="3"/>
      <c r="R3371" s="3"/>
      <c r="S3371" s="3"/>
      <c r="T3371" s="3"/>
      <c r="U3371" s="3"/>
      <c r="V3371" s="3"/>
      <c r="W3371" s="3"/>
      <c r="X3371" s="3"/>
      <c r="Y3371" s="3"/>
      <c r="Z3371" s="3"/>
    </row>
    <row r="3372" spans="1:26" ht="15.6" x14ac:dyDescent="0.3">
      <c r="A3372" s="19" t="s">
        <v>3</v>
      </c>
      <c r="B3372" s="26" t="s">
        <v>3360</v>
      </c>
      <c r="C3372" s="2" t="str">
        <f ca="1">IFERROR(__xludf.DUMMYFUNCTION("GOOGLETRANSLATE(B3372, ""bn"", ""en"")"),"May Allah give you good life and give us tawfiq to convey such lessons from the Qur'an to us, Ameen.")</f>
        <v>May Allah give you good life and give us tawfiq to convey such lessons from the Qur'an to us, Ameen.</v>
      </c>
      <c r="D3372" s="5"/>
      <c r="E3372" s="5"/>
      <c r="F3372" s="5"/>
      <c r="G3372" s="5"/>
      <c r="H3372" s="5"/>
      <c r="I3372" s="5"/>
      <c r="J3372" s="5"/>
      <c r="K3372" s="5"/>
      <c r="L3372" s="5"/>
      <c r="M3372" s="5"/>
      <c r="N3372" s="5"/>
      <c r="O3372" s="5"/>
      <c r="P3372" s="5"/>
      <c r="Q3372" s="5"/>
      <c r="R3372" s="5"/>
      <c r="S3372" s="5"/>
      <c r="T3372" s="5"/>
      <c r="U3372" s="5"/>
      <c r="V3372" s="5"/>
      <c r="W3372" s="5"/>
      <c r="X3372" s="5"/>
      <c r="Y3372" s="5"/>
      <c r="Z3372" s="5"/>
    </row>
    <row r="3373" spans="1:26" ht="15.6" x14ac:dyDescent="0.3">
      <c r="A3373" s="18" t="s">
        <v>23</v>
      </c>
      <c r="B3373" s="25" t="s">
        <v>3361</v>
      </c>
      <c r="C3373" s="2" t="str">
        <f ca="1">IFERROR(__xludf.DUMMYFUNCTION("GOOGLETRANSLATE(B3373, ""bn"", ""en"")"),"They are the threat to create religious differences,,,still standing upright, I don't understand how.,,,")</f>
        <v>They are the threat to create religious differences,,,still standing upright, I don't understand how.,,,</v>
      </c>
      <c r="D3373" s="2"/>
      <c r="E3373" s="2"/>
      <c r="F3373" s="2"/>
      <c r="G3373" s="2"/>
      <c r="H3373" s="5"/>
      <c r="I3373" s="5"/>
      <c r="J3373" s="5"/>
      <c r="K3373" s="5"/>
      <c r="L3373" s="5"/>
      <c r="M3373" s="5"/>
      <c r="N3373" s="5"/>
      <c r="O3373" s="5"/>
      <c r="P3373" s="5"/>
      <c r="Q3373" s="5"/>
      <c r="R3373" s="5"/>
      <c r="S3373" s="5"/>
      <c r="T3373" s="5"/>
      <c r="U3373" s="5"/>
      <c r="V3373" s="5"/>
      <c r="W3373" s="5"/>
      <c r="X3373" s="5"/>
      <c r="Y3373" s="5"/>
      <c r="Z3373" s="5"/>
    </row>
    <row r="3374" spans="1:26" ht="15.6" x14ac:dyDescent="0.3">
      <c r="A3374" s="18" t="s">
        <v>8</v>
      </c>
      <c r="B3374" s="24" t="s">
        <v>3362</v>
      </c>
      <c r="C3374" s="2" t="str">
        <f ca="1">IFERROR(__xludf.DUMMYFUNCTION("GOOGLETRANSLATE(B3374, ""bn"", ""en"")"),"A small Radhakrishna temple in Rajshahi was set on fire later in the evening, idols and furniture burnt.")</f>
        <v>A small Radhakrishna temple in Rajshahi was set on fire later in the evening, idols and furniture burnt.</v>
      </c>
      <c r="D3374" s="5"/>
      <c r="E3374" s="5"/>
      <c r="F3374" s="5"/>
      <c r="G3374" s="5"/>
      <c r="H3374" s="5"/>
      <c r="I3374" s="5"/>
      <c r="J3374" s="5"/>
      <c r="K3374" s="5"/>
      <c r="L3374" s="5"/>
      <c r="M3374" s="5"/>
      <c r="N3374" s="5"/>
      <c r="O3374" s="5"/>
      <c r="P3374" s="5"/>
      <c r="Q3374" s="5"/>
      <c r="R3374" s="5"/>
      <c r="S3374" s="5"/>
      <c r="T3374" s="5"/>
      <c r="U3374" s="5"/>
      <c r="V3374" s="5"/>
      <c r="W3374" s="5"/>
      <c r="X3374" s="5"/>
      <c r="Y3374" s="5"/>
      <c r="Z3374" s="5"/>
    </row>
    <row r="3375" spans="1:26" ht="15.6" x14ac:dyDescent="0.3">
      <c r="A3375" s="19" t="s">
        <v>8</v>
      </c>
      <c r="B3375" s="26" t="s">
        <v>3363</v>
      </c>
      <c r="C3375" s="2" t="str">
        <f ca="1">IFERROR(__xludf.DUMMYFUNCTION("GOOGLETRANSLATE(B3375, ""bn"", ""en"")"),"District Superintendent of Police along with armed police contingent and Ansar forces launched merciless attacks on Hindu villages in and around Kalshira.[9][10] They converted the Muslim inhabitants of the surrounding villages into Hindus. Encouraged loo"&amp;"ting of community homes and property.")</f>
        <v>District Superintendent of Police along with armed police contingent and Ansar forces launched merciless attacks on Hindu villages in and around Kalshira.[9][10] They converted the Muslim inhabitants of the surrounding villages into Hindus. Encouraged looting of community homes and property.</v>
      </c>
      <c r="D3375" s="7"/>
      <c r="E3375" s="7"/>
      <c r="F3375" s="7"/>
      <c r="G3375" s="7"/>
      <c r="H3375" s="7"/>
      <c r="I3375" s="5"/>
      <c r="J3375" s="5"/>
      <c r="K3375" s="5"/>
      <c r="L3375" s="5"/>
      <c r="M3375" s="5"/>
      <c r="N3375" s="5"/>
      <c r="O3375" s="5"/>
      <c r="P3375" s="5"/>
      <c r="Q3375" s="5"/>
      <c r="R3375" s="5"/>
      <c r="S3375" s="5"/>
      <c r="T3375" s="5"/>
      <c r="U3375" s="5"/>
      <c r="V3375" s="5"/>
      <c r="W3375" s="5"/>
      <c r="X3375" s="5"/>
      <c r="Y3375" s="5"/>
      <c r="Z3375" s="5"/>
    </row>
    <row r="3376" spans="1:26" ht="15.6" x14ac:dyDescent="0.3">
      <c r="A3376" s="19" t="s">
        <v>23</v>
      </c>
      <c r="B3376" s="26" t="s">
        <v>3364</v>
      </c>
      <c r="C3376" s="2" t="str">
        <f ca="1">IFERROR(__xludf.DUMMYFUNCTION("GOOGLETRANSLATE(B3376, ""bn"", ""en"")"),"Recently, the Hindu community has stopped the construction of a mosque on the land of Kantnagar temple in Dinajpur, raising one such complaint. But according to newspaper reports, mosque committee president Abdus Salam said, there was already a crude mosq"&amp;"ue here.")</f>
        <v>Recently, the Hindu community has stopped the construction of a mosque on the land of Kantnagar temple in Dinajpur, raising one such complaint. But according to newspaper reports, mosque committee president Abdus Salam said, there was already a crude mosque here.</v>
      </c>
      <c r="D3376" s="7"/>
      <c r="E3376" s="7"/>
      <c r="F3376" s="5"/>
      <c r="G3376" s="5"/>
      <c r="H3376" s="5"/>
      <c r="I3376" s="5"/>
      <c r="J3376" s="5"/>
      <c r="K3376" s="5"/>
      <c r="L3376" s="5"/>
      <c r="M3376" s="5"/>
      <c r="N3376" s="5"/>
      <c r="O3376" s="5"/>
      <c r="P3376" s="5"/>
      <c r="Q3376" s="5"/>
      <c r="R3376" s="5"/>
      <c r="S3376" s="5"/>
      <c r="T3376" s="5"/>
      <c r="U3376" s="5"/>
      <c r="V3376" s="5"/>
      <c r="W3376" s="5"/>
      <c r="X3376" s="5"/>
      <c r="Y3376" s="5"/>
      <c r="Z3376" s="5"/>
    </row>
    <row r="3377" spans="1:26" ht="15.6" x14ac:dyDescent="0.3">
      <c r="A3377" s="18" t="s">
        <v>3</v>
      </c>
      <c r="B3377" s="25" t="s">
        <v>3365</v>
      </c>
      <c r="C3377" s="2" t="str">
        <f ca="1">IFERROR(__xludf.DUMMYFUNCTION("GOOGLETRANSLATE(B3377, ""bn"", ""en"")"),"According to tradition, when the idols were being removed from the Kaaba after the conquest of Mecca, the idols of Ibrahim and his son Ishmael holding the prophetic arrow were recovered from inside the Kaaba.")</f>
        <v>According to tradition, when the idols were being removed from the Kaaba after the conquest of Mecca, the idols of Ibrahim and his son Ishmael holding the prophetic arrow were recovered from inside the Kaaba.</v>
      </c>
      <c r="D3377" s="2"/>
      <c r="E3377" s="2"/>
      <c r="F3377" s="2"/>
      <c r="G3377" s="2"/>
      <c r="H3377" s="3"/>
      <c r="I3377" s="3"/>
      <c r="J3377" s="3"/>
      <c r="K3377" s="3"/>
      <c r="L3377" s="3"/>
      <c r="M3377" s="3"/>
      <c r="N3377" s="3"/>
      <c r="O3377" s="3"/>
      <c r="P3377" s="3"/>
      <c r="Q3377" s="3"/>
      <c r="R3377" s="3"/>
      <c r="S3377" s="3"/>
      <c r="T3377" s="3"/>
      <c r="U3377" s="3"/>
      <c r="V3377" s="3"/>
      <c r="W3377" s="3"/>
      <c r="X3377" s="3"/>
      <c r="Y3377" s="3"/>
      <c r="Z3377" s="3"/>
    </row>
    <row r="3378" spans="1:26" ht="15.6" x14ac:dyDescent="0.3">
      <c r="A3378" s="18" t="s">
        <v>8</v>
      </c>
      <c r="B3378" s="24" t="s">
        <v>3366</v>
      </c>
      <c r="C3378" s="2" t="str">
        <f ca="1">IFERROR(__xludf.DUMMYFUNCTION("GOOGLETRANSLATE(B3378, ""bn"", ""en"")"),"On 4 August 2023, a Rath Mancha was set on fire the night before the Rath Yatra at Goaland in Rajbari, burning everything including the idols inside.")</f>
        <v>On 4 August 2023, a Rath Mancha was set on fire the night before the Rath Yatra at Goaland in Rajbari, burning everything including the idols inside.</v>
      </c>
      <c r="D3378" s="5"/>
      <c r="E3378" s="5"/>
      <c r="F3378" s="5"/>
      <c r="G3378" s="5"/>
      <c r="H3378" s="5"/>
      <c r="I3378" s="5"/>
      <c r="J3378" s="5"/>
      <c r="K3378" s="5"/>
      <c r="L3378" s="5"/>
      <c r="M3378" s="5"/>
      <c r="N3378" s="5"/>
      <c r="O3378" s="5"/>
      <c r="P3378" s="5"/>
      <c r="Q3378" s="5"/>
      <c r="R3378" s="5"/>
      <c r="S3378" s="5"/>
      <c r="T3378" s="5"/>
      <c r="U3378" s="5"/>
      <c r="V3378" s="5"/>
      <c r="W3378" s="5"/>
      <c r="X3378" s="5"/>
      <c r="Y3378" s="5"/>
      <c r="Z3378" s="5"/>
    </row>
    <row r="3379" spans="1:26" ht="15.6" x14ac:dyDescent="0.3">
      <c r="A3379" s="18" t="s">
        <v>8</v>
      </c>
      <c r="B3379" s="25" t="s">
        <v>3367</v>
      </c>
      <c r="C3379" s="2" t="str">
        <f ca="1">IFERROR(__xludf.DUMMYFUNCTION("GOOGLETRANSLATE(B3379, ""bn"", ""en"")"),"Terrorist attack on Hindu family in Savar, threat of eviction")</f>
        <v>Terrorist attack on Hindu family in Savar, threat of eviction</v>
      </c>
      <c r="D3379" s="5"/>
      <c r="E3379" s="5"/>
      <c r="F3379" s="5"/>
      <c r="G3379" s="5"/>
      <c r="H3379" s="5"/>
      <c r="I3379" s="5"/>
      <c r="J3379" s="5"/>
      <c r="K3379" s="5"/>
      <c r="L3379" s="5"/>
      <c r="M3379" s="5"/>
      <c r="N3379" s="5"/>
      <c r="O3379" s="5"/>
      <c r="P3379" s="5"/>
      <c r="Q3379" s="5"/>
      <c r="R3379" s="5"/>
      <c r="S3379" s="5"/>
      <c r="T3379" s="5"/>
      <c r="U3379" s="5"/>
      <c r="V3379" s="5"/>
      <c r="W3379" s="5"/>
      <c r="X3379" s="5"/>
      <c r="Y3379" s="5"/>
      <c r="Z3379" s="5"/>
    </row>
    <row r="3380" spans="1:26" ht="15.6" x14ac:dyDescent="0.3">
      <c r="A3380" s="19" t="s">
        <v>23</v>
      </c>
      <c r="B3380" s="26" t="s">
        <v>3368</v>
      </c>
      <c r="C3380" s="2" t="str">
        <f ca="1">IFERROR(__xludf.DUMMYFUNCTION("GOOGLETRANSLATE(B3380, ""bn"", ""en"")"),"I strongly condemn the President of Sweden and his administration and with this I thank the President Putin, may Allah Ta'ala keep him alive for a thousand years.")</f>
        <v>I strongly condemn the President of Sweden and his administration and with this I thank the President Putin, may Allah Ta'ala keep him alive for a thousand years.</v>
      </c>
      <c r="D3380" s="5"/>
      <c r="E3380" s="5"/>
      <c r="F3380" s="5"/>
      <c r="G3380" s="5"/>
      <c r="H3380" s="5"/>
      <c r="I3380" s="5"/>
      <c r="J3380" s="5"/>
      <c r="K3380" s="5"/>
      <c r="L3380" s="5"/>
      <c r="M3380" s="5"/>
      <c r="N3380" s="5"/>
      <c r="O3380" s="5"/>
      <c r="P3380" s="5"/>
      <c r="Q3380" s="5"/>
      <c r="R3380" s="5"/>
      <c r="S3380" s="5"/>
      <c r="T3380" s="5"/>
      <c r="U3380" s="5"/>
      <c r="V3380" s="5"/>
      <c r="W3380" s="5"/>
      <c r="X3380" s="5"/>
      <c r="Y3380" s="5"/>
      <c r="Z3380" s="5"/>
    </row>
    <row r="3381" spans="1:26" ht="15.6" x14ac:dyDescent="0.3">
      <c r="A3381" s="18" t="s">
        <v>3</v>
      </c>
      <c r="B3381" s="25" t="s">
        <v>3369</v>
      </c>
      <c r="C3381" s="2" t="str">
        <f ca="1">IFERROR(__xludf.DUMMYFUNCTION("GOOGLETRANSLATE(B3381, ""bn"", ""en"")"),"I will appeal to the government to at least amend the state 18 age law on conversion and marriage.")</f>
        <v>I will appeal to the government to at least amend the state 18 age law on conversion and marriage.</v>
      </c>
      <c r="D3381" s="2"/>
      <c r="E3381" s="2"/>
      <c r="F3381" s="2"/>
      <c r="G3381" s="2"/>
      <c r="H3381" s="3"/>
      <c r="I3381" s="3"/>
      <c r="J3381" s="3"/>
      <c r="K3381" s="3"/>
      <c r="L3381" s="3"/>
      <c r="M3381" s="3"/>
      <c r="N3381" s="3"/>
      <c r="O3381" s="3"/>
      <c r="P3381" s="3"/>
      <c r="Q3381" s="3"/>
      <c r="R3381" s="3"/>
      <c r="S3381" s="3"/>
      <c r="T3381" s="3"/>
      <c r="U3381" s="3"/>
      <c r="V3381" s="3"/>
      <c r="W3381" s="3"/>
      <c r="X3381" s="3"/>
      <c r="Y3381" s="3"/>
      <c r="Z3381" s="3"/>
    </row>
    <row r="3382" spans="1:26" ht="15.6" x14ac:dyDescent="0.3">
      <c r="A3382" s="18" t="s">
        <v>23</v>
      </c>
      <c r="B3382" s="25" t="s">
        <v>3370</v>
      </c>
      <c r="C3382" s="2" t="str">
        <f ca="1">IFERROR(__xludf.DUMMYFUNCTION("GOOGLETRANSLATE(B3382, ""bn"", ""en"")"),"A mahal's dirty process to undermine the intended communal harmony. However, whoever the culprit may be, they should be brought under the law and given severe punishment based on a fair investigation. Which will later become an example in the society so t"&amp;"hat no one dares to do this despicable act.")</f>
        <v>A mahal's dirty process to undermine the intended communal harmony. However, whoever the culprit may be, they should be brought under the law and given severe punishment based on a fair investigation. Which will later become an example in the society so that no one dares to do this despicable act.</v>
      </c>
      <c r="D3382" s="5"/>
      <c r="E3382" s="5"/>
      <c r="F3382" s="5"/>
      <c r="G3382" s="5"/>
      <c r="H3382" s="5"/>
      <c r="I3382" s="5"/>
      <c r="J3382" s="5"/>
      <c r="K3382" s="5"/>
      <c r="L3382" s="5"/>
      <c r="M3382" s="5"/>
      <c r="N3382" s="5"/>
      <c r="O3382" s="5"/>
      <c r="P3382" s="5"/>
      <c r="Q3382" s="5"/>
      <c r="R3382" s="5"/>
      <c r="S3382" s="5"/>
      <c r="T3382" s="5"/>
      <c r="U3382" s="5"/>
      <c r="V3382" s="5"/>
      <c r="W3382" s="5"/>
      <c r="X3382" s="5"/>
      <c r="Y3382" s="5"/>
      <c r="Z3382" s="5"/>
    </row>
    <row r="3383" spans="1:26" ht="15.6" x14ac:dyDescent="0.3">
      <c r="A3383" s="18" t="s">
        <v>8</v>
      </c>
      <c r="B3383" s="25" t="s">
        <v>3371</v>
      </c>
      <c r="C3383" s="2" t="str">
        <f ca="1">IFERROR(__xludf.DUMMYFUNCTION("GOOGLETRANSLATE(B3383, ""bn"", ""en"")"),"Hate attacks against Muslims increased in Bangladesh after 9/11.")</f>
        <v>Hate attacks against Muslims increased in Bangladesh after 9/11.</v>
      </c>
      <c r="D3383" s="2"/>
      <c r="E3383" s="2"/>
      <c r="F3383" s="2"/>
      <c r="G3383" s="2"/>
      <c r="H3383" s="3"/>
      <c r="I3383" s="3"/>
      <c r="J3383" s="3"/>
      <c r="K3383" s="3"/>
      <c r="L3383" s="3"/>
      <c r="M3383" s="3"/>
      <c r="N3383" s="3"/>
      <c r="O3383" s="3"/>
      <c r="P3383" s="3"/>
      <c r="Q3383" s="3"/>
      <c r="R3383" s="3"/>
      <c r="S3383" s="3"/>
      <c r="T3383" s="3"/>
      <c r="U3383" s="3"/>
      <c r="V3383" s="3"/>
      <c r="W3383" s="3"/>
      <c r="X3383" s="3"/>
      <c r="Y3383" s="3"/>
      <c r="Z3383" s="3"/>
    </row>
    <row r="3384" spans="1:26" ht="15.6" x14ac:dyDescent="0.3">
      <c r="A3384" s="19" t="s">
        <v>23</v>
      </c>
      <c r="B3384" s="26" t="s">
        <v>3372</v>
      </c>
      <c r="C3384" s="2" t="str">
        <f ca="1">IFERROR(__xludf.DUMMYFUNCTION("GOOGLETRANSLATE(B3384, ""bn"", ""en"")"),"There is no end to insults because there is no mind in action in religion. Kalachand! How can we explain that institutional religion and God have nothing to do with each other?")</f>
        <v>There is no end to insults because there is no mind in action in religion. Kalachand! How can we explain that institutional religion and God have nothing to do with each other?</v>
      </c>
      <c r="D3384" s="5"/>
      <c r="E3384" s="5"/>
      <c r="F3384" s="5"/>
      <c r="G3384" s="5"/>
      <c r="H3384" s="5"/>
      <c r="I3384" s="5"/>
      <c r="J3384" s="5"/>
      <c r="K3384" s="5"/>
      <c r="L3384" s="5"/>
      <c r="M3384" s="5"/>
      <c r="N3384" s="5"/>
      <c r="O3384" s="5"/>
      <c r="P3384" s="5"/>
      <c r="Q3384" s="5"/>
      <c r="R3384" s="5"/>
      <c r="S3384" s="5"/>
      <c r="T3384" s="5"/>
      <c r="U3384" s="5"/>
      <c r="V3384" s="5"/>
      <c r="W3384" s="5"/>
      <c r="X3384" s="5"/>
      <c r="Y3384" s="5"/>
      <c r="Z3384" s="5"/>
    </row>
    <row r="3385" spans="1:26" ht="15.6" x14ac:dyDescent="0.3">
      <c r="A3385" s="19" t="s">
        <v>23</v>
      </c>
      <c r="B3385" s="26" t="s">
        <v>3373</v>
      </c>
      <c r="C3385" s="2" t="str">
        <f ca="1">IFERROR(__xludf.DUMMYFUNCTION("GOOGLETRANSLATE(B3385, ""bn"", ""en"")"),"I see that Hindu girls should get married by making them Muslims, I will increase the anger of the grandfathers.")</f>
        <v>I see that Hindu girls should get married by making them Muslims, I will increase the anger of the grandfathers.</v>
      </c>
      <c r="D3385" s="5"/>
      <c r="E3385" s="5"/>
      <c r="F3385" s="5"/>
      <c r="G3385" s="5"/>
      <c r="H3385" s="5"/>
      <c r="I3385" s="5"/>
      <c r="J3385" s="5"/>
      <c r="K3385" s="5"/>
      <c r="L3385" s="5"/>
      <c r="M3385" s="5"/>
      <c r="N3385" s="5"/>
      <c r="O3385" s="5"/>
      <c r="P3385" s="5"/>
      <c r="Q3385" s="5"/>
      <c r="R3385" s="5"/>
      <c r="S3385" s="5"/>
      <c r="T3385" s="5"/>
      <c r="U3385" s="5"/>
      <c r="V3385" s="5"/>
      <c r="W3385" s="5"/>
      <c r="X3385" s="5"/>
      <c r="Y3385" s="5"/>
      <c r="Z3385" s="5"/>
    </row>
    <row r="3386" spans="1:26" ht="15.6" x14ac:dyDescent="0.3">
      <c r="A3386" s="18" t="s">
        <v>23</v>
      </c>
      <c r="B3386" s="25" t="s">
        <v>3374</v>
      </c>
      <c r="C3386" s="2" t="str">
        <f ca="1">IFERROR(__xludf.DUMMYFUNCTION("GOOGLETRANSLATE(B3386, ""bn"", ""en"")"),"Muslims in Muslim countries seem to be suffering from an identity crisis! If we all do not resist the government of Hindutvaism, there will be more danger ahead.")</f>
        <v>Muslims in Muslim countries seem to be suffering from an identity crisis! If we all do not resist the government of Hindutvaism, there will be more danger ahead.</v>
      </c>
      <c r="D3386" s="5"/>
      <c r="E3386" s="5"/>
      <c r="F3386" s="5"/>
      <c r="G3386" s="5"/>
      <c r="H3386" s="5"/>
      <c r="I3386" s="5"/>
      <c r="J3386" s="5"/>
      <c r="K3386" s="5"/>
      <c r="L3386" s="5"/>
      <c r="M3386" s="5"/>
      <c r="N3386" s="5"/>
      <c r="O3386" s="5"/>
      <c r="P3386" s="5"/>
      <c r="Q3386" s="5"/>
      <c r="R3386" s="5"/>
      <c r="S3386" s="5"/>
      <c r="T3386" s="5"/>
      <c r="U3386" s="5"/>
      <c r="V3386" s="5"/>
      <c r="W3386" s="5"/>
      <c r="X3386" s="5"/>
      <c r="Y3386" s="5"/>
      <c r="Z3386" s="5"/>
    </row>
    <row r="3387" spans="1:26" ht="15.6" x14ac:dyDescent="0.3">
      <c r="A3387" s="19" t="s">
        <v>5</v>
      </c>
      <c r="B3387" s="26" t="s">
        <v>3375</v>
      </c>
      <c r="C3387" s="2" t="str">
        <f ca="1">IFERROR(__xludf.DUMMYFUNCTION("GOOGLETRANSLATE(B3387, ""bn"", ""en"")"),"Sitakunda Massacre which refers to the organized massacre of Hindu pilgrims on 15 February 1950.[1] Pilgrims from all over East Bengal, Assam and Tripura were attacked by armed Ansar and Muslims in the Sitakunda railway station area on their way to the Ch"&amp;"andranath Temple located on the Chandranath Hill in Sitakunda, the birthplace of Hinduism, on the occasion of Maha Shivaratri.")</f>
        <v>Sitakunda Massacre which refers to the organized massacre of Hindu pilgrims on 15 February 1950.[1] Pilgrims from all over East Bengal, Assam and Tripura were attacked by armed Ansar and Muslims in the Sitakunda railway station area on their way to the Chandranath Temple located on the Chandranath Hill in Sitakunda, the birthplace of Hinduism, on the occasion of Maha Shivaratri.</v>
      </c>
      <c r="D3387" s="7"/>
      <c r="E3387" s="7"/>
      <c r="F3387" s="7"/>
      <c r="G3387" s="7"/>
      <c r="H3387" s="7"/>
      <c r="I3387" s="7"/>
      <c r="J3387" s="7"/>
      <c r="K3387" s="7"/>
      <c r="L3387" s="7"/>
      <c r="M3387" s="7"/>
      <c r="N3387" s="7"/>
      <c r="O3387" s="7"/>
      <c r="P3387" s="5"/>
      <c r="Q3387" s="5"/>
      <c r="R3387" s="5"/>
      <c r="S3387" s="5"/>
      <c r="T3387" s="5"/>
      <c r="U3387" s="5"/>
      <c r="V3387" s="5"/>
      <c r="W3387" s="5"/>
      <c r="X3387" s="5"/>
      <c r="Y3387" s="5"/>
      <c r="Z3387" s="5"/>
    </row>
    <row r="3388" spans="1:26" ht="15.6" x14ac:dyDescent="0.3">
      <c r="A3388" s="19" t="s">
        <v>5</v>
      </c>
      <c r="B3388" s="26" t="s">
        <v>3376</v>
      </c>
      <c r="C3388" s="2" t="str">
        <f ca="1">IFERROR(__xludf.DUMMYFUNCTION("GOOGLETRANSLATE(B3388, ""bn"", ""en"")"),"And do not consider those who are slain in the way of Allah as dead; Rather, they are alive and receive sustenance from their Lord.")</f>
        <v>And do not consider those who are slain in the way of Allah as dead; Rather, they are alive and receive sustenance from their Lord.</v>
      </c>
      <c r="D3388" s="5"/>
      <c r="E3388" s="5"/>
      <c r="F3388" s="5"/>
      <c r="G3388" s="5"/>
      <c r="H3388" s="5"/>
      <c r="I3388" s="5"/>
      <c r="J3388" s="5"/>
      <c r="K3388" s="5"/>
      <c r="L3388" s="5"/>
      <c r="M3388" s="5"/>
      <c r="N3388" s="5"/>
      <c r="O3388" s="5"/>
      <c r="P3388" s="5"/>
      <c r="Q3388" s="5"/>
      <c r="R3388" s="5"/>
      <c r="S3388" s="5"/>
      <c r="T3388" s="5"/>
      <c r="U3388" s="5"/>
      <c r="V3388" s="5"/>
      <c r="W3388" s="5"/>
      <c r="X3388" s="5"/>
      <c r="Y3388" s="5"/>
      <c r="Z3388" s="5"/>
    </row>
    <row r="3389" spans="1:26" ht="15.6" x14ac:dyDescent="0.3">
      <c r="A3389" s="18" t="s">
        <v>3</v>
      </c>
      <c r="B3389" s="25" t="s">
        <v>3377</v>
      </c>
      <c r="C3389" s="2" t="str">
        <f ca="1">IFERROR(__xludf.DUMMYFUNCTION("GOOGLETRANSLATE(B3389, ""bn"", ""en"")"),"Whenever I am plunged into despair, break down, then I get hope again after listening to the master's lecture, my inner vision starts to open, Alhamdulillah. May Allah give good reward to everyone who dubbed including him.""")</f>
        <v>Whenever I am plunged into despair, break down, then I get hope again after listening to the master's lecture, my inner vision starts to open, Alhamdulillah. May Allah give good reward to everyone who dubbed including him."</v>
      </c>
      <c r="D3389" s="5"/>
      <c r="E3389" s="5"/>
      <c r="F3389" s="5"/>
      <c r="G3389" s="5"/>
      <c r="H3389" s="5"/>
      <c r="I3389" s="5"/>
      <c r="J3389" s="5"/>
      <c r="K3389" s="5"/>
      <c r="L3389" s="5"/>
      <c r="M3389" s="5"/>
      <c r="N3389" s="5"/>
      <c r="O3389" s="5"/>
      <c r="P3389" s="5"/>
      <c r="Q3389" s="5"/>
      <c r="R3389" s="5"/>
      <c r="S3389" s="5"/>
      <c r="T3389" s="5"/>
      <c r="U3389" s="5"/>
      <c r="V3389" s="5"/>
      <c r="W3389" s="5"/>
      <c r="X3389" s="5"/>
      <c r="Y3389" s="5"/>
      <c r="Z3389" s="5"/>
    </row>
    <row r="3390" spans="1:26" ht="15.6" x14ac:dyDescent="0.3">
      <c r="A3390" s="18" t="s">
        <v>8</v>
      </c>
      <c r="B3390" s="24" t="s">
        <v>3378</v>
      </c>
      <c r="C3390" s="2" t="str">
        <f ca="1">IFERROR(__xludf.DUMMYFUNCTION("GOOGLETRANSLATE(B3390, ""bn"", ""en"")"),"Attacked Christian family home in Thakurgaon, tore Bibles and threatened to convert.")</f>
        <v>Attacked Christian family home in Thakurgaon, tore Bibles and threatened to convert.</v>
      </c>
      <c r="D3390" s="5"/>
      <c r="E3390" s="5"/>
      <c r="F3390" s="5"/>
      <c r="G3390" s="5"/>
      <c r="H3390" s="5"/>
      <c r="I3390" s="5"/>
      <c r="J3390" s="5"/>
      <c r="K3390" s="5"/>
      <c r="L3390" s="5"/>
      <c r="M3390" s="5"/>
      <c r="N3390" s="5"/>
      <c r="O3390" s="5"/>
      <c r="P3390" s="5"/>
      <c r="Q3390" s="5"/>
      <c r="R3390" s="5"/>
      <c r="S3390" s="5"/>
      <c r="T3390" s="5"/>
      <c r="U3390" s="5"/>
      <c r="V3390" s="5"/>
      <c r="W3390" s="5"/>
      <c r="X3390" s="5"/>
      <c r="Y3390" s="5"/>
      <c r="Z3390" s="5"/>
    </row>
    <row r="3391" spans="1:26" ht="15.6" x14ac:dyDescent="0.3">
      <c r="A3391" s="18" t="s">
        <v>5</v>
      </c>
      <c r="B3391" s="25" t="s">
        <v>3379</v>
      </c>
      <c r="C3391" s="2" t="str">
        <f ca="1">IFERROR(__xludf.DUMMYFUNCTION("GOOGLETRANSLATE(B3391, ""bn"", ""en"")"),"Rana Dasgupta said in reference to the death of pilgrims in the Rath Yatra of Bogra, ""We are shocked by this incident."" He demanded a fair investigation into the incident.")</f>
        <v>Rana Dasgupta said in reference to the death of pilgrims in the Rath Yatra of Bogra, "We are shocked by this incident." He demanded a fair investigation into the incident.</v>
      </c>
      <c r="D3391" s="2"/>
      <c r="E3391" s="2"/>
      <c r="F3391" s="2"/>
      <c r="G3391" s="2"/>
      <c r="H3391" s="5"/>
      <c r="I3391" s="5"/>
      <c r="J3391" s="5"/>
      <c r="K3391" s="5"/>
      <c r="L3391" s="5"/>
      <c r="M3391" s="5"/>
      <c r="N3391" s="5"/>
      <c r="O3391" s="5"/>
      <c r="P3391" s="5"/>
      <c r="Q3391" s="5"/>
      <c r="R3391" s="5"/>
      <c r="S3391" s="5"/>
      <c r="T3391" s="5"/>
      <c r="U3391" s="5"/>
      <c r="V3391" s="5"/>
      <c r="W3391" s="5"/>
      <c r="X3391" s="5"/>
      <c r="Y3391" s="5"/>
      <c r="Z3391" s="5"/>
    </row>
    <row r="3392" spans="1:26" ht="15.6" x14ac:dyDescent="0.3">
      <c r="A3392" s="18" t="s">
        <v>5</v>
      </c>
      <c r="B3392" s="25" t="s">
        <v>3380</v>
      </c>
      <c r="C3392" s="2" t="str">
        <f ca="1">IFERROR(__xludf.DUMMYFUNCTION("GOOGLETRANSLATE(B3392, ""bn"", ""en"")"),"Conflict over religion has divided people and many lives have been lost as a result, which is very painful for humanity.")</f>
        <v>Conflict over religion has divided people and many lives have been lost as a result, which is very painful for humanity.</v>
      </c>
      <c r="D3392" s="2"/>
      <c r="E3392" s="2"/>
      <c r="F3392" s="2"/>
      <c r="G3392" s="2"/>
      <c r="H3392" s="5"/>
      <c r="I3392" s="5"/>
      <c r="J3392" s="5"/>
      <c r="K3392" s="5"/>
      <c r="L3392" s="5"/>
      <c r="M3392" s="5"/>
      <c r="N3392" s="5"/>
      <c r="O3392" s="5"/>
      <c r="P3392" s="5"/>
      <c r="Q3392" s="5"/>
      <c r="R3392" s="5"/>
      <c r="S3392" s="5"/>
      <c r="T3392" s="5"/>
      <c r="U3392" s="5"/>
      <c r="V3392" s="5"/>
      <c r="W3392" s="5"/>
      <c r="X3392" s="5"/>
      <c r="Y3392" s="5"/>
      <c r="Z3392" s="5"/>
    </row>
    <row r="3393" spans="1:26" ht="15.6" x14ac:dyDescent="0.3">
      <c r="A3393" s="18" t="s">
        <v>23</v>
      </c>
      <c r="B3393" s="25" t="s">
        <v>3381</v>
      </c>
      <c r="C3393" s="2" t="str">
        <f ca="1">IFERROR(__xludf.DUMMYFUNCTION("GOOGLETRANSLATE(B3393, ""bn"", ""en"")"),"Another Bengali: I am Muslim I will practice Islam, this is my decision, Bangiy Sekulangar: You are a militant, hypocritical Bangiy")</f>
        <v>Another Bengali: I am Muslim I will practice Islam, this is my decision, Bangiy Sekulangar: You are a militant, hypocritical Bangiy</v>
      </c>
      <c r="D3393" s="2"/>
      <c r="E3393" s="2"/>
      <c r="F3393" s="2"/>
      <c r="G3393" s="2"/>
      <c r="H3393" s="3"/>
      <c r="I3393" s="3"/>
      <c r="J3393" s="3"/>
      <c r="K3393" s="3"/>
      <c r="L3393" s="3"/>
      <c r="M3393" s="3"/>
      <c r="N3393" s="3"/>
      <c r="O3393" s="3"/>
      <c r="P3393" s="3"/>
      <c r="Q3393" s="3"/>
      <c r="R3393" s="3"/>
      <c r="S3393" s="3"/>
      <c r="T3393" s="3"/>
      <c r="U3393" s="3"/>
      <c r="V3393" s="3"/>
      <c r="W3393" s="3"/>
      <c r="X3393" s="3"/>
      <c r="Y3393" s="3"/>
      <c r="Z3393" s="3"/>
    </row>
    <row r="3394" spans="1:26" ht="15.6" x14ac:dyDescent="0.3">
      <c r="A3394" s="18" t="s">
        <v>8</v>
      </c>
      <c r="B3394" s="24" t="s">
        <v>3382</v>
      </c>
      <c r="C3394" s="2" t="str">
        <f ca="1">IFERROR(__xludf.DUMMYFUNCTION("GOOGLETRANSLATE(B3394, ""bn"", ""en"")"),"At Mirzapur in Tangail, the ancient Kalimandir was broken into and smashed with sandalwood idols and prayer articles.")</f>
        <v>At Mirzapur in Tangail, the ancient Kalimandir was broken into and smashed with sandalwood idols and prayer articles.</v>
      </c>
      <c r="D3394" s="5"/>
      <c r="E3394" s="5"/>
      <c r="F3394" s="5"/>
      <c r="G3394" s="5"/>
      <c r="H3394" s="5"/>
      <c r="I3394" s="5"/>
      <c r="J3394" s="5"/>
      <c r="K3394" s="5"/>
      <c r="L3394" s="5"/>
      <c r="M3394" s="5"/>
      <c r="N3394" s="5"/>
      <c r="O3394" s="5"/>
      <c r="P3394" s="5"/>
      <c r="Q3394" s="5"/>
      <c r="R3394" s="5"/>
      <c r="S3394" s="5"/>
      <c r="T3394" s="5"/>
      <c r="U3394" s="5"/>
      <c r="V3394" s="5"/>
      <c r="W3394" s="5"/>
      <c r="X3394" s="5"/>
      <c r="Y3394" s="5"/>
      <c r="Z3394" s="5"/>
    </row>
    <row r="3395" spans="1:26" ht="15.6" x14ac:dyDescent="0.3">
      <c r="A3395" s="19" t="s">
        <v>3</v>
      </c>
      <c r="B3395" s="26" t="s">
        <v>3383</v>
      </c>
      <c r="C3395" s="2" t="str">
        <f ca="1">IFERROR(__xludf.DUMMYFUNCTION("GOOGLETRANSLATE(B3395, ""bn"", ""en"")"),"How did Muslims start celebrating the festival of Eid in Islam?")</f>
        <v>How did Muslims start celebrating the festival of Eid in Islam?</v>
      </c>
      <c r="D3395" s="5"/>
      <c r="E3395" s="5"/>
      <c r="F3395" s="5"/>
      <c r="G3395" s="5"/>
      <c r="H3395" s="5"/>
      <c r="I3395" s="5"/>
      <c r="J3395" s="5"/>
      <c r="K3395" s="5"/>
      <c r="L3395" s="5"/>
      <c r="M3395" s="5"/>
      <c r="N3395" s="5"/>
      <c r="O3395" s="5"/>
      <c r="P3395" s="5"/>
      <c r="Q3395" s="5"/>
      <c r="R3395" s="5"/>
      <c r="S3395" s="5"/>
      <c r="T3395" s="5"/>
      <c r="U3395" s="5"/>
      <c r="V3395" s="5"/>
      <c r="W3395" s="5"/>
      <c r="X3395" s="5"/>
      <c r="Y3395" s="5"/>
      <c r="Z3395" s="5"/>
    </row>
    <row r="3396" spans="1:26" ht="15.6" x14ac:dyDescent="0.3">
      <c r="A3396" s="18" t="s">
        <v>23</v>
      </c>
      <c r="B3396" s="25" t="s">
        <v>3384</v>
      </c>
      <c r="C3396" s="2" t="str">
        <f ca="1">IFERROR(__xludf.DUMMYFUNCTION("GOOGLETRANSLATE(B3396, ""bn"", ""en"")"),"By insulting our holy book Al Quran, shoot at the people of my religion there again")</f>
        <v>By insulting our holy book Al Quran, shoot at the people of my religion there again</v>
      </c>
      <c r="D3396" s="5"/>
      <c r="E3396" s="5"/>
      <c r="F3396" s="5"/>
      <c r="G3396" s="5"/>
      <c r="H3396" s="5"/>
      <c r="I3396" s="5"/>
      <c r="J3396" s="5"/>
      <c r="K3396" s="5"/>
      <c r="L3396" s="5"/>
      <c r="M3396" s="5"/>
      <c r="N3396" s="5"/>
      <c r="O3396" s="5"/>
      <c r="P3396" s="5"/>
      <c r="Q3396" s="5"/>
      <c r="R3396" s="5"/>
      <c r="S3396" s="5"/>
      <c r="T3396" s="5"/>
      <c r="U3396" s="5"/>
      <c r="V3396" s="5"/>
      <c r="W3396" s="5"/>
      <c r="X3396" s="5"/>
      <c r="Y3396" s="5"/>
      <c r="Z3396" s="5"/>
    </row>
    <row r="3397" spans="1:26" ht="15.6" x14ac:dyDescent="0.3">
      <c r="A3397" s="18" t="s">
        <v>23</v>
      </c>
      <c r="B3397" s="24" t="s">
        <v>170</v>
      </c>
      <c r="C3397" s="2" t="str">
        <f ca="1">IFERROR(__xludf.DUMMYFUNCTION("GOOGLETRANSLATE(B3397, ""bn"", ""en"")"),"Christian missionaries are damaging religious unity and creating division in the country in the name of conversion.")</f>
        <v>Christian missionaries are damaging religious unity and creating division in the country in the name of conversion.</v>
      </c>
      <c r="D3397" s="5"/>
      <c r="E3397" s="5"/>
      <c r="F3397" s="5"/>
      <c r="G3397" s="5"/>
      <c r="H3397" s="5"/>
      <c r="I3397" s="5"/>
      <c r="J3397" s="5"/>
      <c r="K3397" s="5"/>
      <c r="L3397" s="5"/>
      <c r="M3397" s="5"/>
      <c r="N3397" s="5"/>
      <c r="O3397" s="5"/>
      <c r="P3397" s="5"/>
      <c r="Q3397" s="5"/>
      <c r="R3397" s="5"/>
      <c r="S3397" s="5"/>
      <c r="T3397" s="5"/>
      <c r="U3397" s="5"/>
      <c r="V3397" s="5"/>
      <c r="W3397" s="5"/>
      <c r="X3397" s="5"/>
      <c r="Y3397" s="5"/>
      <c r="Z3397" s="5"/>
    </row>
    <row r="3398" spans="1:26" ht="15.6" x14ac:dyDescent="0.3">
      <c r="A3398" s="18" t="s">
        <v>5</v>
      </c>
      <c r="B3398" s="24" t="s">
        <v>3385</v>
      </c>
      <c r="C3398" s="2" t="str">
        <f ca="1">IFERROR(__xludf.DUMMYFUNCTION("GOOGLETRANSLATE(B3398, ""bn"", ""en"")"),"In January 2018, a doctor was publicly beheaded for religious dissent; His wife committed suicide due to mental breakdown; A total of 12 people were killed.")</f>
        <v>In January 2018, a doctor was publicly beheaded for religious dissent; His wife committed suicide due to mental breakdown; A total of 12 people were killed.</v>
      </c>
      <c r="D3398" s="5"/>
      <c r="E3398" s="5"/>
      <c r="F3398" s="5"/>
      <c r="G3398" s="5"/>
      <c r="H3398" s="5"/>
      <c r="I3398" s="5"/>
      <c r="J3398" s="5"/>
      <c r="K3398" s="5"/>
      <c r="L3398" s="5"/>
      <c r="M3398" s="5"/>
      <c r="N3398" s="5"/>
      <c r="O3398" s="5"/>
      <c r="P3398" s="5"/>
      <c r="Q3398" s="5"/>
      <c r="R3398" s="5"/>
      <c r="S3398" s="5"/>
      <c r="T3398" s="5"/>
      <c r="U3398" s="5"/>
      <c r="V3398" s="5"/>
      <c r="W3398" s="5"/>
      <c r="X3398" s="5"/>
      <c r="Y3398" s="5"/>
      <c r="Z3398" s="5"/>
    </row>
    <row r="3399" spans="1:26" ht="15.6" x14ac:dyDescent="0.3">
      <c r="A3399" s="19" t="s">
        <v>5</v>
      </c>
      <c r="B3399" s="26" t="s">
        <v>3386</v>
      </c>
      <c r="C3399" s="2" t="str">
        <f ca="1">IFERROR(__xludf.DUMMYFUNCTION("GOOGLETRANSLATE(B3399, ""bn"", ""en"")"),"Two Bangladeshis including the imam of a mosque have been shot dead by unidentified terrorists. At the end of the prayer, they were returning home on foot.")</f>
        <v>Two Bangladeshis including the imam of a mosque have been shot dead by unidentified terrorists. At the end of the prayer, they were returning home on foot.</v>
      </c>
      <c r="D3399" s="5"/>
      <c r="E3399" s="5"/>
      <c r="F3399" s="5"/>
      <c r="G3399" s="5"/>
      <c r="H3399" s="5"/>
      <c r="I3399" s="5"/>
      <c r="J3399" s="5"/>
      <c r="K3399" s="5"/>
      <c r="L3399" s="5"/>
      <c r="M3399" s="5"/>
      <c r="N3399" s="5"/>
      <c r="O3399" s="5"/>
      <c r="P3399" s="5"/>
      <c r="Q3399" s="5"/>
      <c r="R3399" s="5"/>
      <c r="S3399" s="5"/>
      <c r="T3399" s="5"/>
      <c r="U3399" s="5"/>
      <c r="V3399" s="5"/>
      <c r="W3399" s="5"/>
      <c r="X3399" s="5"/>
      <c r="Y3399" s="5"/>
      <c r="Z3399" s="5"/>
    </row>
    <row r="3400" spans="1:26" ht="15.6" x14ac:dyDescent="0.3">
      <c r="A3400" s="18" t="s">
        <v>23</v>
      </c>
      <c r="B3400" s="25" t="s">
        <v>3387</v>
      </c>
      <c r="C3400" s="2" t="str">
        <f ca="1">IFERROR(__xludf.DUMMYFUNCTION("GOOGLETRANSLATE(B3400, ""bn"", ""en"")"),"Some of the brothers reconciled these disrespectful incidents by bringing forward the indifference and errors of ordinary people in observing the Qur'an and Sunnah. And said, ""They themselves have insulted the Qur'an and the Sunnah throughout their lives"&amp;" and have been insulting people of other religions.")</f>
        <v>Some of the brothers reconciled these disrespectful incidents by bringing forward the indifference and errors of ordinary people in observing the Qur'an and Sunnah. And said, "They themselves have insulted the Qur'an and the Sunnah throughout their lives and have been insulting people of other religions.</v>
      </c>
      <c r="D3400" s="5"/>
      <c r="E3400" s="5"/>
      <c r="F3400" s="5"/>
      <c r="G3400" s="5"/>
      <c r="H3400" s="5"/>
      <c r="I3400" s="5"/>
      <c r="J3400" s="5"/>
      <c r="K3400" s="5"/>
      <c r="L3400" s="5"/>
      <c r="M3400" s="5"/>
      <c r="N3400" s="5"/>
      <c r="O3400" s="5"/>
      <c r="P3400" s="5"/>
      <c r="Q3400" s="5"/>
      <c r="R3400" s="5"/>
      <c r="S3400" s="5"/>
      <c r="T3400" s="5"/>
      <c r="U3400" s="5"/>
      <c r="V3400" s="5"/>
      <c r="W3400" s="5"/>
      <c r="X3400" s="5"/>
      <c r="Y3400" s="5"/>
      <c r="Z3400" s="5"/>
    </row>
    <row r="3401" spans="1:26" ht="15.6" x14ac:dyDescent="0.3">
      <c r="A3401" s="18" t="s">
        <v>5</v>
      </c>
      <c r="B3401" s="24" t="s">
        <v>3388</v>
      </c>
      <c r="C3401" s="2" t="str">
        <f ca="1">IFERROR(__xludf.DUMMYFUNCTION("GOOGLETRANSLATE(B3401, ""bn"", ""en"")"),"In September 2021, a group of religious groups revoked the citizenship of minorities; 57 died of poverty and disease.")</f>
        <v>In September 2021, a group of religious groups revoked the citizenship of minorities; 57 died of poverty and disease.</v>
      </c>
      <c r="D3401" s="5"/>
      <c r="E3401" s="5"/>
      <c r="F3401" s="5"/>
      <c r="G3401" s="5"/>
      <c r="H3401" s="5"/>
      <c r="I3401" s="5"/>
      <c r="J3401" s="5"/>
      <c r="K3401" s="5"/>
      <c r="L3401" s="5"/>
      <c r="M3401" s="5"/>
      <c r="N3401" s="5"/>
      <c r="O3401" s="5"/>
      <c r="P3401" s="5"/>
      <c r="Q3401" s="5"/>
      <c r="R3401" s="5"/>
      <c r="S3401" s="5"/>
      <c r="T3401" s="5"/>
      <c r="U3401" s="5"/>
      <c r="V3401" s="5"/>
      <c r="W3401" s="5"/>
      <c r="X3401" s="5"/>
      <c r="Y3401" s="5"/>
      <c r="Z3401" s="5"/>
    </row>
    <row r="3402" spans="1:26" ht="15.6" x14ac:dyDescent="0.3">
      <c r="A3402" s="18" t="s">
        <v>8</v>
      </c>
      <c r="B3402" s="25" t="s">
        <v>3389</v>
      </c>
      <c r="C3402" s="2" t="str">
        <f ca="1">IFERROR(__xludf.DUMMYFUNCTION("GOOGLETRANSLATE(B3402, ""bn"", ""en"")"),"On September 23, an idol was vandalized in a temple in Jeyala Nalta village of Tala upazila in Satkhira. Muslim miscreants broke the head of the idol in the Sahapara temple on Friday morning. Local public representatives including senior police officers a"&amp;"nd members of parliament visited the scene and said that through investigation, those involved in the incident would be brought to justice.")</f>
        <v>On September 23, an idol was vandalized in a temple in Jeyala Nalta village of Tala upazila in Satkhira. Muslim miscreants broke the head of the idol in the Sahapara temple on Friday morning. Local public representatives including senior police officers and members of parliament visited the scene and said that through investigation, those involved in the incident would be brought to justice.</v>
      </c>
      <c r="D3402" s="5"/>
      <c r="E3402" s="5"/>
      <c r="F3402" s="5"/>
      <c r="G3402" s="5"/>
      <c r="H3402" s="5"/>
      <c r="I3402" s="5"/>
      <c r="J3402" s="5"/>
      <c r="K3402" s="5"/>
      <c r="L3402" s="5"/>
      <c r="M3402" s="5"/>
      <c r="N3402" s="5"/>
      <c r="O3402" s="5"/>
      <c r="P3402" s="5"/>
      <c r="Q3402" s="5"/>
      <c r="R3402" s="5"/>
      <c r="S3402" s="5"/>
      <c r="T3402" s="5"/>
      <c r="U3402" s="5"/>
      <c r="V3402" s="5"/>
      <c r="W3402" s="5"/>
      <c r="X3402" s="5"/>
      <c r="Y3402" s="5"/>
      <c r="Z3402" s="5"/>
    </row>
    <row r="3403" spans="1:26" ht="15.6" x14ac:dyDescent="0.3">
      <c r="A3403" s="18" t="s">
        <v>23</v>
      </c>
      <c r="B3403" s="25" t="s">
        <v>3390</v>
      </c>
      <c r="C3403" s="2" t="str">
        <f ca="1">IFERROR(__xludf.DUMMYFUNCTION("GOOGLETRANSLATE(B3403, ""bn"", ""en"")"),"We offer separate packages for Hindus and Muslims. But I don't do anything separately for Buddhists. However, we are getting good number of tourists from major Buddhist countries.")</f>
        <v>We offer separate packages for Hindus and Muslims. But I don't do anything separately for Buddhists. However, we are getting good number of tourists from major Buddhist countries.</v>
      </c>
      <c r="D3403" s="6"/>
      <c r="E3403" s="2"/>
      <c r="F3403" s="2"/>
      <c r="G3403" s="2"/>
      <c r="H3403" s="3"/>
      <c r="I3403" s="3"/>
      <c r="J3403" s="3"/>
      <c r="K3403" s="3"/>
      <c r="L3403" s="3"/>
      <c r="M3403" s="3"/>
      <c r="N3403" s="3"/>
      <c r="O3403" s="3"/>
      <c r="P3403" s="3"/>
      <c r="Q3403" s="3"/>
      <c r="R3403" s="3"/>
      <c r="S3403" s="3"/>
      <c r="T3403" s="3"/>
      <c r="U3403" s="3"/>
      <c r="V3403" s="3"/>
      <c r="W3403" s="3"/>
      <c r="X3403" s="3"/>
      <c r="Y3403" s="3"/>
      <c r="Z3403" s="3"/>
    </row>
    <row r="3404" spans="1:26" ht="15.6" x14ac:dyDescent="0.3">
      <c r="A3404" s="18" t="s">
        <v>23</v>
      </c>
      <c r="B3404" s="25" t="s">
        <v>3391</v>
      </c>
      <c r="C3404" s="2" t="str">
        <f ca="1">IFERROR(__xludf.DUMMYFUNCTION("GOOGLETRANSLATE(B3404, ""bn"", ""en"")"),"If you stop Iftar today, you will stop Eid prayers tomorrow. Then Jumma will stop. In this continuation, Islam will be brought into the house. He will talk about practicing Islam at home. Social Islam will be banned.")</f>
        <v>If you stop Iftar today, you will stop Eid prayers tomorrow. Then Jumma will stop. In this continuation, Islam will be brought into the house. He will talk about practicing Islam at home. Social Islam will be banned.</v>
      </c>
      <c r="D3404" s="2"/>
      <c r="E3404" s="2"/>
      <c r="F3404" s="2"/>
      <c r="G3404" s="2"/>
      <c r="H3404" s="3"/>
      <c r="I3404" s="3"/>
      <c r="J3404" s="3"/>
      <c r="K3404" s="3"/>
      <c r="L3404" s="3"/>
      <c r="M3404" s="3"/>
      <c r="N3404" s="3"/>
      <c r="O3404" s="3"/>
      <c r="P3404" s="3"/>
      <c r="Q3404" s="3"/>
      <c r="R3404" s="3"/>
      <c r="S3404" s="3"/>
      <c r="T3404" s="3"/>
      <c r="U3404" s="3"/>
      <c r="V3404" s="3"/>
      <c r="W3404" s="3"/>
      <c r="X3404" s="3"/>
      <c r="Y3404" s="3"/>
      <c r="Z3404" s="3"/>
    </row>
    <row r="3405" spans="1:26" ht="15.6" x14ac:dyDescent="0.3">
      <c r="A3405" s="18" t="s">
        <v>8</v>
      </c>
      <c r="B3405" s="24" t="s">
        <v>3392</v>
      </c>
      <c r="C3405" s="2" t="str">
        <f ca="1">IFERROR(__xludf.DUMMYFUNCTION("GOOGLETRANSLATE(B3405, ""bn"", ""en"")"),"On 9 September 2023, Durga idol was defaced with lime in Rajapur, Jhalkathi.")</f>
        <v>On 9 September 2023, Durga idol was defaced with lime in Rajapur, Jhalkathi.</v>
      </c>
      <c r="D3405" s="5"/>
      <c r="E3405" s="5"/>
      <c r="F3405" s="5"/>
      <c r="G3405" s="5"/>
      <c r="H3405" s="5"/>
      <c r="I3405" s="5"/>
      <c r="J3405" s="5"/>
      <c r="K3405" s="5"/>
      <c r="L3405" s="5"/>
      <c r="M3405" s="5"/>
      <c r="N3405" s="5"/>
      <c r="O3405" s="5"/>
      <c r="P3405" s="5"/>
      <c r="Q3405" s="5"/>
      <c r="R3405" s="5"/>
      <c r="S3405" s="5"/>
      <c r="T3405" s="5"/>
      <c r="U3405" s="5"/>
      <c r="V3405" s="5"/>
      <c r="W3405" s="5"/>
      <c r="X3405" s="5"/>
      <c r="Y3405" s="5"/>
      <c r="Z3405" s="5"/>
    </row>
    <row r="3406" spans="1:26" ht="15.6" x14ac:dyDescent="0.3">
      <c r="A3406" s="18" t="s">
        <v>23</v>
      </c>
      <c r="B3406" s="25" t="s">
        <v>3393</v>
      </c>
      <c r="C3406" s="2" t="str">
        <f ca="1">IFERROR(__xludf.DUMMYFUNCTION("GOOGLETRANSLATE(B3406, ""bn"", ""en"")"),"If someone calls you a Muslim even though you are a Muslim, your feelings are hurt, then you should leave Islam.")</f>
        <v>If someone calls you a Muslim even though you are a Muslim, your feelings are hurt, then you should leave Islam.</v>
      </c>
      <c r="D3406" s="5"/>
      <c r="E3406" s="5"/>
      <c r="F3406" s="5"/>
      <c r="G3406" s="5"/>
      <c r="H3406" s="5"/>
      <c r="I3406" s="5"/>
      <c r="J3406" s="5"/>
      <c r="K3406" s="5"/>
      <c r="L3406" s="5"/>
      <c r="M3406" s="5"/>
      <c r="N3406" s="5"/>
      <c r="O3406" s="5"/>
      <c r="P3406" s="5"/>
      <c r="Q3406" s="5"/>
      <c r="R3406" s="5"/>
      <c r="S3406" s="5"/>
      <c r="T3406" s="5"/>
      <c r="U3406" s="5"/>
      <c r="V3406" s="5"/>
      <c r="W3406" s="5"/>
      <c r="X3406" s="5"/>
      <c r="Y3406" s="5"/>
      <c r="Z3406" s="5"/>
    </row>
    <row r="3407" spans="1:26" ht="15.6" x14ac:dyDescent="0.3">
      <c r="A3407" s="18" t="s">
        <v>3</v>
      </c>
      <c r="B3407" s="25" t="s">
        <v>3394</v>
      </c>
      <c r="C3407" s="2" t="str">
        <f ca="1">IFERROR(__xludf.DUMMYFUNCTION("GOOGLETRANSLATE(B3407, ""bn"", ""en"")"),"Humanity and justice are the core teachings of all religions, which can bring true peace in our lives.")</f>
        <v>Humanity and justice are the core teachings of all religions, which can bring true peace in our lives.</v>
      </c>
      <c r="D3407" s="2"/>
      <c r="E3407" s="2"/>
      <c r="F3407" s="2"/>
      <c r="G3407" s="2"/>
      <c r="H3407" s="3"/>
      <c r="I3407" s="3"/>
      <c r="J3407" s="3"/>
      <c r="K3407" s="3"/>
      <c r="L3407" s="3"/>
      <c r="M3407" s="3"/>
      <c r="N3407" s="3"/>
      <c r="O3407" s="3"/>
      <c r="P3407" s="3"/>
      <c r="Q3407" s="3"/>
      <c r="R3407" s="3"/>
      <c r="S3407" s="3"/>
      <c r="T3407" s="3"/>
      <c r="U3407" s="3"/>
      <c r="V3407" s="3"/>
      <c r="W3407" s="3"/>
      <c r="X3407" s="3"/>
      <c r="Y3407" s="3"/>
      <c r="Z3407" s="3"/>
    </row>
    <row r="3408" spans="1:26" ht="15.6" x14ac:dyDescent="0.3">
      <c r="A3408" s="18" t="s">
        <v>3</v>
      </c>
      <c r="B3408" s="24" t="s">
        <v>3395</v>
      </c>
      <c r="C3408" s="2" t="str">
        <f ca="1">IFERROR(__xludf.DUMMYFUNCTION("GOOGLETRANSLATE(B3408, ""bn"", ""en"")"),"Whatever religion we follow, humanity should be above all of us.")</f>
        <v>Whatever religion we follow, humanity should be above all of us.</v>
      </c>
      <c r="D3408" s="5"/>
      <c r="E3408" s="5"/>
      <c r="F3408" s="5"/>
      <c r="G3408" s="5"/>
      <c r="H3408" s="5"/>
      <c r="I3408" s="5"/>
      <c r="J3408" s="5"/>
      <c r="K3408" s="5"/>
      <c r="L3408" s="5"/>
      <c r="M3408" s="5"/>
      <c r="N3408" s="5"/>
      <c r="O3408" s="5"/>
      <c r="P3408" s="5"/>
      <c r="Q3408" s="5"/>
      <c r="R3408" s="5"/>
      <c r="S3408" s="5"/>
      <c r="T3408" s="5"/>
      <c r="U3408" s="5"/>
      <c r="V3408" s="5"/>
      <c r="W3408" s="5"/>
      <c r="X3408" s="5"/>
      <c r="Y3408" s="5"/>
      <c r="Z3408" s="5"/>
    </row>
    <row r="3409" spans="1:26" ht="15.6" x14ac:dyDescent="0.3">
      <c r="A3409" s="18" t="s">
        <v>8</v>
      </c>
      <c r="B3409" s="24" t="s">
        <v>3396</v>
      </c>
      <c r="C3409" s="2" t="str">
        <f ca="1">IFERROR(__xludf.DUMMYFUNCTION("GOOGLETRANSLATE(B3409, ""bn"", ""en"")"),"On 1 September 2024 miscreants broke the dome of the Satkhira temple and crushed the five idols inside.")</f>
        <v>On 1 September 2024 miscreants broke the dome of the Satkhira temple and crushed the five idols inside.</v>
      </c>
      <c r="D3409" s="5"/>
      <c r="E3409" s="5"/>
      <c r="F3409" s="5"/>
      <c r="G3409" s="5"/>
      <c r="H3409" s="5"/>
      <c r="I3409" s="5"/>
      <c r="J3409" s="5"/>
      <c r="K3409" s="5"/>
      <c r="L3409" s="5"/>
      <c r="M3409" s="5"/>
      <c r="N3409" s="5"/>
      <c r="O3409" s="5"/>
      <c r="P3409" s="5"/>
      <c r="Q3409" s="5"/>
      <c r="R3409" s="5"/>
      <c r="S3409" s="5"/>
      <c r="T3409" s="5"/>
      <c r="U3409" s="5"/>
      <c r="V3409" s="5"/>
      <c r="W3409" s="5"/>
      <c r="X3409" s="5"/>
      <c r="Y3409" s="5"/>
      <c r="Z3409" s="5"/>
    </row>
    <row r="3410" spans="1:26" ht="15.6" x14ac:dyDescent="0.3">
      <c r="A3410" s="19" t="s">
        <v>8</v>
      </c>
      <c r="B3410" s="26" t="s">
        <v>3397</v>
      </c>
      <c r="C3410" s="2" t="str">
        <f ca="1">IFERROR(__xludf.DUMMYFUNCTION("GOOGLETRANSLATE(B3410, ""bn"", ""en"")"),"Local Hindus were scared after the incident. Some miscreants entered a Hari temple and destroyed idols and desecrated idols in several other Hindu temples.")</f>
        <v>Local Hindus were scared after the incident. Some miscreants entered a Hari temple and destroyed idols and desecrated idols in several other Hindu temples.</v>
      </c>
      <c r="D3410" s="7"/>
      <c r="E3410" s="7"/>
      <c r="F3410" s="7"/>
      <c r="G3410" s="7"/>
      <c r="H3410" s="7"/>
      <c r="I3410" s="7"/>
      <c r="J3410" s="7"/>
      <c r="K3410" s="7"/>
      <c r="L3410" s="5"/>
      <c r="M3410" s="5"/>
      <c r="N3410" s="5"/>
      <c r="O3410" s="5"/>
      <c r="P3410" s="5"/>
      <c r="Q3410" s="5"/>
      <c r="R3410" s="5"/>
      <c r="S3410" s="5"/>
      <c r="T3410" s="5"/>
      <c r="U3410" s="5"/>
      <c r="V3410" s="5"/>
      <c r="W3410" s="5"/>
      <c r="X3410" s="5"/>
      <c r="Y3410" s="5"/>
      <c r="Z3410" s="5"/>
    </row>
    <row r="3411" spans="1:26" ht="15.6" x14ac:dyDescent="0.3">
      <c r="A3411" s="18" t="s">
        <v>8</v>
      </c>
      <c r="B3411" s="25" t="s">
        <v>3398</v>
      </c>
      <c r="C3411" s="2" t="str">
        <f ca="1">IFERROR(__xludf.DUMMYFUNCTION("GOOGLETRANSLATE(B3411, ""bn"", ""en"")"),"Hindus constitute about 38% of the country's population. In the late 1990s, Fiji saw several riots with Hindus by Christian fundamentalists.")</f>
        <v>Hindus constitute about 38% of the country's population. In the late 1990s, Fiji saw several riots with Hindus by Christian fundamentalists.</v>
      </c>
      <c r="D3411" s="2"/>
      <c r="E3411" s="2"/>
      <c r="F3411" s="2"/>
      <c r="G3411" s="2"/>
      <c r="H3411" s="3"/>
      <c r="I3411" s="3"/>
      <c r="J3411" s="3"/>
      <c r="K3411" s="3"/>
      <c r="L3411" s="3"/>
      <c r="M3411" s="3"/>
      <c r="N3411" s="3"/>
      <c r="O3411" s="3"/>
      <c r="P3411" s="3"/>
      <c r="Q3411" s="3"/>
      <c r="R3411" s="3"/>
      <c r="S3411" s="3"/>
      <c r="T3411" s="3"/>
      <c r="U3411" s="3"/>
      <c r="V3411" s="3"/>
      <c r="W3411" s="3"/>
      <c r="X3411" s="3"/>
      <c r="Y3411" s="3"/>
      <c r="Z3411" s="3"/>
    </row>
    <row r="3412" spans="1:26" ht="15.6" x14ac:dyDescent="0.3">
      <c r="A3412" s="18" t="s">
        <v>23</v>
      </c>
      <c r="B3412" s="25" t="s">
        <v>3399</v>
      </c>
      <c r="C3412" s="2" t="str">
        <f ca="1">IFERROR(__xludf.DUMMYFUNCTION("GOOGLETRANSLATE(B3412, ""bn"", ""en"")"),"I would like to request the Hindu people of the country from all walks of life, do not just worship, kirtan, sing and speak out against those who are trying to harm the Hindu religion and society, who are planning to eliminate Hindus from the country.")</f>
        <v>I would like to request the Hindu people of the country from all walks of life, do not just worship, kirtan, sing and speak out against those who are trying to harm the Hindu religion and society, who are planning to eliminate Hindus from the country.</v>
      </c>
      <c r="D3412" s="6"/>
      <c r="E3412" s="6"/>
      <c r="F3412" s="6"/>
      <c r="G3412" s="2"/>
      <c r="H3412" s="3"/>
      <c r="I3412" s="3"/>
      <c r="J3412" s="3"/>
      <c r="K3412" s="3"/>
      <c r="L3412" s="3"/>
      <c r="M3412" s="3"/>
      <c r="N3412" s="3"/>
      <c r="O3412" s="3"/>
      <c r="P3412" s="3"/>
      <c r="Q3412" s="3"/>
      <c r="R3412" s="3"/>
      <c r="S3412" s="3"/>
      <c r="T3412" s="3"/>
      <c r="U3412" s="3"/>
      <c r="V3412" s="3"/>
      <c r="W3412" s="3"/>
      <c r="X3412" s="3"/>
      <c r="Y3412" s="3"/>
      <c r="Z3412" s="3"/>
    </row>
    <row r="3413" spans="1:26" ht="15.6" x14ac:dyDescent="0.3">
      <c r="A3413" s="19" t="s">
        <v>3</v>
      </c>
      <c r="B3413" s="26" t="s">
        <v>3400</v>
      </c>
      <c r="C3413" s="2" t="str">
        <f ca="1">IFERROR(__xludf.DUMMYFUNCTION("GOOGLETRANSLATE(B3413, ""bn"", ""en"")"),"O Allah! Give us goodness in this world and the Hereafter and protect us from Hellfire. Allah hears his prayers and heals him.")</f>
        <v>O Allah! Give us goodness in this world and the Hereafter and protect us from Hellfire. Allah hears his prayers and heals him.</v>
      </c>
      <c r="D3413" s="7"/>
      <c r="E3413" s="7"/>
      <c r="F3413" s="7"/>
      <c r="G3413" s="7"/>
      <c r="H3413" s="7"/>
      <c r="I3413" s="7"/>
      <c r="J3413" s="7"/>
      <c r="K3413" s="5"/>
      <c r="L3413" s="5"/>
      <c r="M3413" s="5"/>
      <c r="N3413" s="5"/>
      <c r="O3413" s="5"/>
      <c r="P3413" s="5"/>
      <c r="Q3413" s="5"/>
      <c r="R3413" s="5"/>
      <c r="S3413" s="5"/>
      <c r="T3413" s="5"/>
      <c r="U3413" s="5"/>
      <c r="V3413" s="5"/>
      <c r="W3413" s="5"/>
      <c r="X3413" s="5"/>
      <c r="Y3413" s="5"/>
      <c r="Z3413" s="5"/>
    </row>
    <row r="3414" spans="1:26" ht="15.6" x14ac:dyDescent="0.3">
      <c r="A3414" s="19" t="s">
        <v>5</v>
      </c>
      <c r="B3414" s="26" t="s">
        <v>3401</v>
      </c>
      <c r="C3414" s="2" t="str">
        <f ca="1">IFERROR(__xludf.DUMMYFUNCTION("GOOGLETRANSLATE(B3414, ""bn"", ""en"")"),"About 1,800 Bengali Muslims were killed in one village by a local tribe; It is the worst genocide since World War II.")</f>
        <v>About 1,800 Bengali Muslims were killed in one village by a local tribe; It is the worst genocide since World War II.</v>
      </c>
      <c r="D3414" s="7"/>
      <c r="E3414" s="7"/>
      <c r="F3414" s="7"/>
      <c r="G3414" s="7"/>
      <c r="H3414" s="7"/>
      <c r="I3414" s="7"/>
      <c r="J3414" s="5"/>
      <c r="K3414" s="5"/>
      <c r="L3414" s="5"/>
      <c r="M3414" s="5"/>
      <c r="N3414" s="5"/>
      <c r="O3414" s="5"/>
      <c r="P3414" s="5"/>
      <c r="Q3414" s="5"/>
      <c r="R3414" s="5"/>
      <c r="S3414" s="5"/>
      <c r="T3414" s="5"/>
      <c r="U3414" s="5"/>
      <c r="V3414" s="5"/>
      <c r="W3414" s="5"/>
      <c r="X3414" s="5"/>
      <c r="Y3414" s="5"/>
      <c r="Z3414" s="5"/>
    </row>
    <row r="3415" spans="1:26" ht="15.6" x14ac:dyDescent="0.3">
      <c r="A3415" s="18" t="s">
        <v>3</v>
      </c>
      <c r="B3415" s="25" t="s">
        <v>3402</v>
      </c>
      <c r="C3415" s="2" t="str">
        <f ca="1">IFERROR(__xludf.DUMMYFUNCTION("GOOGLETRANSLATE(B3415, ""bn"", ""en"")"),"Islam is the logical explanation of the existence of the total universe. Islam is a very serious matter.")</f>
        <v>Islam is the logical explanation of the existence of the total universe. Islam is a very serious matter.</v>
      </c>
      <c r="D3415" s="2"/>
      <c r="E3415" s="2"/>
      <c r="F3415" s="2"/>
      <c r="G3415" s="2"/>
      <c r="H3415" s="5"/>
      <c r="I3415" s="5"/>
      <c r="J3415" s="5"/>
      <c r="K3415" s="5"/>
      <c r="L3415" s="5"/>
      <c r="M3415" s="5"/>
      <c r="N3415" s="5"/>
      <c r="O3415" s="5"/>
      <c r="P3415" s="5"/>
      <c r="Q3415" s="5"/>
      <c r="R3415" s="5"/>
      <c r="S3415" s="5"/>
      <c r="T3415" s="5"/>
      <c r="U3415" s="5"/>
      <c r="V3415" s="5"/>
      <c r="W3415" s="5"/>
      <c r="X3415" s="5"/>
      <c r="Y3415" s="5"/>
      <c r="Z3415" s="5"/>
    </row>
    <row r="3416" spans="1:26" ht="15.6" x14ac:dyDescent="0.3">
      <c r="A3416" s="19" t="s">
        <v>5</v>
      </c>
      <c r="B3416" s="26" t="s">
        <v>3403</v>
      </c>
      <c r="C3416" s="2" t="str">
        <f ca="1">IFERROR(__xludf.DUMMYFUNCTION("GOOGLETRANSLATE(B3416, ""bn"", ""en"")"),"A young man, Salwan Momika (38), was shot dead in connection with the burning of Muslim holy books in Bangladesh. He incited violent protests by burning religious books.")</f>
        <v>A young man, Salwan Momika (38), was shot dead in connection with the burning of Muslim holy books in Bangladesh. He incited violent protests by burning religious books.</v>
      </c>
      <c r="D3416" s="7"/>
      <c r="E3416" s="7"/>
      <c r="F3416" s="7"/>
      <c r="G3416" s="7"/>
      <c r="H3416" s="7"/>
      <c r="I3416" s="7"/>
      <c r="J3416" s="7"/>
      <c r="K3416" s="7"/>
      <c r="L3416" s="7"/>
      <c r="M3416" s="7"/>
      <c r="N3416" s="7"/>
      <c r="O3416" s="7"/>
      <c r="P3416" s="5"/>
      <c r="Q3416" s="5"/>
      <c r="R3416" s="5"/>
      <c r="S3416" s="5"/>
      <c r="T3416" s="5"/>
      <c r="U3416" s="5"/>
      <c r="V3416" s="5"/>
      <c r="W3416" s="5"/>
      <c r="X3416" s="5"/>
      <c r="Y3416" s="5"/>
      <c r="Z3416" s="5"/>
    </row>
    <row r="3417" spans="1:26" ht="15.6" x14ac:dyDescent="0.3">
      <c r="A3417" s="18" t="s">
        <v>23</v>
      </c>
      <c r="B3417" s="25" t="s">
        <v>3404</v>
      </c>
      <c r="C3417" s="2" t="str">
        <f ca="1">IFERROR(__xludf.DUMMYFUNCTION("GOOGLETRANSLATE(B3417, ""bn"", ""en"")"),"As a means of inciting religious hatred and violence, why such incidents are taking place should be investigated. It is also alleged that such incidents are happening with the consent of the concerned government.")</f>
        <v>As a means of inciting religious hatred and violence, why such incidents are taking place should be investigated. It is also alleged that such incidents are happening with the consent of the concerned government.</v>
      </c>
      <c r="D3417" s="2"/>
      <c r="E3417" s="2"/>
      <c r="F3417" s="2"/>
      <c r="G3417" s="2"/>
      <c r="H3417" s="3"/>
      <c r="I3417" s="3"/>
      <c r="J3417" s="3"/>
      <c r="K3417" s="3"/>
      <c r="L3417" s="3"/>
      <c r="M3417" s="3"/>
      <c r="N3417" s="3"/>
      <c r="O3417" s="3"/>
      <c r="P3417" s="3"/>
      <c r="Q3417" s="3"/>
      <c r="R3417" s="3"/>
      <c r="S3417" s="3"/>
      <c r="T3417" s="3"/>
      <c r="U3417" s="3"/>
      <c r="V3417" s="3"/>
      <c r="W3417" s="3"/>
      <c r="X3417" s="3"/>
      <c r="Y3417" s="3"/>
      <c r="Z3417" s="3"/>
    </row>
    <row r="3418" spans="1:26" ht="15.6" x14ac:dyDescent="0.3">
      <c r="A3418" s="18" t="s">
        <v>3</v>
      </c>
      <c r="B3418" s="24" t="s">
        <v>3405</v>
      </c>
      <c r="C3418" s="2" t="str">
        <f ca="1">IFERROR(__xludf.DUMMYFUNCTION("GOOGLETRANSLATE(B3418, ""bn"", ""en"")"),"Jesus Christ teaches us love, forgiveness and mercy. He said, 'Love your enemy too.'")</f>
        <v>Jesus Christ teaches us love, forgiveness and mercy. He said, 'Love your enemy too.'</v>
      </c>
      <c r="D3418" s="5"/>
      <c r="E3418" s="5"/>
      <c r="F3418" s="5"/>
      <c r="G3418" s="5"/>
      <c r="H3418" s="5"/>
      <c r="I3418" s="5"/>
      <c r="J3418" s="5"/>
      <c r="K3418" s="5"/>
      <c r="L3418" s="5"/>
      <c r="M3418" s="5"/>
      <c r="N3418" s="5"/>
      <c r="O3418" s="5"/>
      <c r="P3418" s="5"/>
      <c r="Q3418" s="5"/>
      <c r="R3418" s="5"/>
      <c r="S3418" s="5"/>
      <c r="T3418" s="5"/>
      <c r="U3418" s="5"/>
      <c r="V3418" s="5"/>
      <c r="W3418" s="5"/>
      <c r="X3418" s="5"/>
      <c r="Y3418" s="5"/>
      <c r="Z3418" s="5"/>
    </row>
    <row r="3419" spans="1:26" ht="15.6" x14ac:dyDescent="0.3">
      <c r="A3419" s="19" t="s">
        <v>3</v>
      </c>
      <c r="B3419" s="26" t="s">
        <v>3406</v>
      </c>
      <c r="C3419" s="2" t="str">
        <f ca="1">IFERROR(__xludf.DUMMYFUNCTION("GOOGLETRANSLATE(B3419, ""bn"", ""en"")"),"Hearing the words fills the mind. The troubled mind also becomes calm. It seems that there is nothing more to be desired in this world.")</f>
        <v>Hearing the words fills the mind. The troubled mind also becomes calm. It seems that there is nothing more to be desired in this world.</v>
      </c>
      <c r="D3419" s="5"/>
      <c r="E3419" s="5"/>
      <c r="F3419" s="5"/>
      <c r="G3419" s="5"/>
      <c r="H3419" s="5"/>
      <c r="I3419" s="5"/>
      <c r="J3419" s="5"/>
      <c r="K3419" s="5"/>
      <c r="L3419" s="5"/>
      <c r="M3419" s="5"/>
      <c r="N3419" s="5"/>
      <c r="O3419" s="5"/>
      <c r="P3419" s="5"/>
      <c r="Q3419" s="5"/>
      <c r="R3419" s="5"/>
      <c r="S3419" s="5"/>
      <c r="T3419" s="5"/>
      <c r="U3419" s="5"/>
      <c r="V3419" s="5"/>
      <c r="W3419" s="5"/>
      <c r="X3419" s="5"/>
      <c r="Y3419" s="5"/>
      <c r="Z3419" s="5"/>
    </row>
    <row r="3420" spans="1:26" ht="15.6" x14ac:dyDescent="0.3">
      <c r="A3420" s="18" t="s">
        <v>3</v>
      </c>
      <c r="B3420" s="25" t="s">
        <v>3407</v>
      </c>
      <c r="C3420" s="2" t="str">
        <f ca="1">IFERROR(__xludf.DUMMYFUNCTION("GOOGLETRANSLATE(B3420, ""bn"", ""en"")"),"No one can be a true believer until the Prophet (PBUH) is dearer to him than his father, his children and all people.”")</f>
        <v>No one can be a true believer until the Prophet (PBUH) is dearer to him than his father, his children and all people.”</v>
      </c>
      <c r="D3420" s="7"/>
      <c r="E3420" s="5"/>
      <c r="F3420" s="5"/>
      <c r="G3420" s="5"/>
      <c r="H3420" s="5"/>
      <c r="I3420" s="5"/>
      <c r="J3420" s="5"/>
      <c r="K3420" s="5"/>
      <c r="L3420" s="5"/>
      <c r="M3420" s="5"/>
      <c r="N3420" s="5"/>
      <c r="O3420" s="5"/>
      <c r="P3420" s="5"/>
      <c r="Q3420" s="5"/>
      <c r="R3420" s="5"/>
      <c r="S3420" s="5"/>
      <c r="T3420" s="5"/>
      <c r="U3420" s="5"/>
      <c r="V3420" s="5"/>
      <c r="W3420" s="5"/>
      <c r="X3420" s="5"/>
      <c r="Y3420" s="5"/>
      <c r="Z3420" s="5"/>
    </row>
    <row r="3421" spans="1:26" ht="15.6" x14ac:dyDescent="0.3">
      <c r="A3421" s="19" t="s">
        <v>8</v>
      </c>
      <c r="B3421" s="26" t="s">
        <v>3408</v>
      </c>
      <c r="C3421" s="2" t="str">
        <f ca="1">IFERROR(__xludf.DUMMYFUNCTION("GOOGLETRANSLATE(B3421, ""bn"", ""en"")"),"When a Muslim child regains life in the blood of a Christian, when a Hindu old man regains life in the blood of a Muslim brother, when a Christian regains life in the blood of a Hindu, then when everyone's blood color is red, what is the difference? And w"&amp;"hat is communal riots?")</f>
        <v>When a Muslim child regains life in the blood of a Christian, when a Hindu old man regains life in the blood of a Muslim brother, when a Christian regains life in the blood of a Hindu, then when everyone's blood color is red, what is the difference? And what is communal riots?</v>
      </c>
      <c r="D3421" s="7"/>
      <c r="E3421" s="7"/>
      <c r="F3421" s="7"/>
      <c r="G3421" s="7"/>
      <c r="H3421" s="7"/>
      <c r="I3421" s="7"/>
      <c r="J3421" s="7"/>
      <c r="K3421" s="7"/>
      <c r="L3421" s="7"/>
      <c r="M3421" s="5"/>
      <c r="N3421" s="5"/>
      <c r="O3421" s="5"/>
      <c r="P3421" s="5"/>
      <c r="Q3421" s="5"/>
      <c r="R3421" s="5"/>
      <c r="S3421" s="5"/>
      <c r="T3421" s="5"/>
      <c r="U3421" s="5"/>
      <c r="V3421" s="5"/>
      <c r="W3421" s="5"/>
      <c r="X3421" s="5"/>
      <c r="Y3421" s="5"/>
      <c r="Z3421" s="5"/>
    </row>
    <row r="3422" spans="1:26" ht="15.6" x14ac:dyDescent="0.3">
      <c r="A3422" s="18" t="s">
        <v>8</v>
      </c>
      <c r="B3422" s="24" t="s">
        <v>3409</v>
      </c>
      <c r="C3422" s="2" t="str">
        <f ca="1">IFERROR(__xludf.DUMMYFUNCTION("GOOGLETRANSLATE(B3422, ""bn"", ""en"")"),"In Lakshmipur, religious music was played during the prayers and chaos was created by entering the Buddhist monastery.")</f>
        <v>In Lakshmipur, religious music was played during the prayers and chaos was created by entering the Buddhist monastery.</v>
      </c>
      <c r="D3422" s="5"/>
      <c r="E3422" s="5"/>
      <c r="F3422" s="5"/>
      <c r="G3422" s="5"/>
      <c r="H3422" s="5"/>
      <c r="I3422" s="5"/>
      <c r="J3422" s="5"/>
      <c r="K3422" s="5"/>
      <c r="L3422" s="5"/>
      <c r="M3422" s="5"/>
      <c r="N3422" s="5"/>
      <c r="O3422" s="5"/>
      <c r="P3422" s="5"/>
      <c r="Q3422" s="5"/>
      <c r="R3422" s="5"/>
      <c r="S3422" s="5"/>
      <c r="T3422" s="5"/>
      <c r="U3422" s="5"/>
      <c r="V3422" s="5"/>
      <c r="W3422" s="5"/>
      <c r="X3422" s="5"/>
      <c r="Y3422" s="5"/>
      <c r="Z3422" s="5"/>
    </row>
    <row r="3423" spans="1:26" ht="15.6" x14ac:dyDescent="0.3">
      <c r="A3423" s="18" t="s">
        <v>3</v>
      </c>
      <c r="B3423" s="25" t="s">
        <v>3410</v>
      </c>
      <c r="C3423" s="2" t="str">
        <f ca="1">IFERROR(__xludf.DUMMYFUNCTION("GOOGLETRANSLATE(B3423, ""bn"", ""en"")"),"Qur'anic verses say that treating animals kindly is a sign of faith and a means of attaining God's pleasure.")</f>
        <v>Qur'anic verses say that treating animals kindly is a sign of faith and a means of attaining God's pleasure.</v>
      </c>
      <c r="D3423" s="2"/>
      <c r="E3423" s="2"/>
      <c r="F3423" s="2"/>
      <c r="G3423" s="2"/>
      <c r="H3423" s="5"/>
      <c r="I3423" s="5"/>
      <c r="J3423" s="5"/>
      <c r="K3423" s="5"/>
      <c r="L3423" s="5"/>
      <c r="M3423" s="5"/>
      <c r="N3423" s="5"/>
      <c r="O3423" s="5"/>
      <c r="P3423" s="5"/>
      <c r="Q3423" s="5"/>
      <c r="R3423" s="5"/>
      <c r="S3423" s="5"/>
      <c r="T3423" s="5"/>
      <c r="U3423" s="5"/>
      <c r="V3423" s="5"/>
      <c r="W3423" s="5"/>
      <c r="X3423" s="5"/>
      <c r="Y3423" s="5"/>
      <c r="Z3423" s="5"/>
    </row>
    <row r="3424" spans="1:26" ht="15.6" x14ac:dyDescent="0.3">
      <c r="A3424" s="18" t="s">
        <v>8</v>
      </c>
      <c r="B3424" s="24" t="s">
        <v>3411</v>
      </c>
      <c r="C3424" s="2" t="str">
        <f ca="1">IFERROR(__xludf.DUMMYFUNCTION("GOOGLETRANSLATE(B3424, ""bn"", ""en"")"),"A group of people entered Brahmanbaria at night and broke the two lion statues placed near the steps of the temple.")</f>
        <v>A group of people entered Brahmanbaria at night and broke the two lion statues placed near the steps of the temple.</v>
      </c>
      <c r="D3424" s="5"/>
      <c r="E3424" s="5"/>
      <c r="F3424" s="5"/>
      <c r="G3424" s="5"/>
      <c r="H3424" s="5"/>
      <c r="I3424" s="5"/>
      <c r="J3424" s="5"/>
      <c r="K3424" s="5"/>
      <c r="L3424" s="5"/>
      <c r="M3424" s="5"/>
      <c r="N3424" s="5"/>
      <c r="O3424" s="5"/>
      <c r="P3424" s="5"/>
      <c r="Q3424" s="5"/>
      <c r="R3424" s="5"/>
      <c r="S3424" s="5"/>
      <c r="T3424" s="5"/>
      <c r="U3424" s="5"/>
      <c r="V3424" s="5"/>
      <c r="W3424" s="5"/>
      <c r="X3424" s="5"/>
      <c r="Y3424" s="5"/>
      <c r="Z3424" s="5"/>
    </row>
    <row r="3425" spans="1:26" ht="15.6" x14ac:dyDescent="0.3">
      <c r="A3425" s="18" t="s">
        <v>3</v>
      </c>
      <c r="B3425" s="25" t="s">
        <v>3412</v>
      </c>
      <c r="C3425" s="2" t="str">
        <f ca="1">IFERROR(__xludf.DUMMYFUNCTION("GOOGLETRANSLATE(B3425, ""bn"", ""en"")"),"We never discuss Hindu-Muslim. My wife is a Hindu, I am a Muslim.")</f>
        <v>We never discuss Hindu-Muslim. My wife is a Hindu, I am a Muslim.</v>
      </c>
      <c r="D3425" s="5"/>
      <c r="E3425" s="5"/>
      <c r="F3425" s="5"/>
      <c r="G3425" s="5"/>
      <c r="H3425" s="5"/>
      <c r="I3425" s="5"/>
      <c r="J3425" s="5"/>
      <c r="K3425" s="5"/>
      <c r="L3425" s="5"/>
      <c r="M3425" s="5"/>
      <c r="N3425" s="5"/>
      <c r="O3425" s="5"/>
      <c r="P3425" s="5"/>
      <c r="Q3425" s="5"/>
      <c r="R3425" s="5"/>
      <c r="S3425" s="5"/>
      <c r="T3425" s="5"/>
      <c r="U3425" s="5"/>
      <c r="V3425" s="5"/>
      <c r="W3425" s="5"/>
      <c r="X3425" s="5"/>
      <c r="Y3425" s="5"/>
      <c r="Z3425" s="5"/>
    </row>
    <row r="3426" spans="1:26" ht="15.6" x14ac:dyDescent="0.3">
      <c r="A3426" s="19" t="s">
        <v>23</v>
      </c>
      <c r="B3426" s="26" t="s">
        <v>3413</v>
      </c>
      <c r="C3426" s="2" t="str">
        <f ca="1">IFERROR(__xludf.DUMMYFUNCTION("GOOGLETRANSLATE(B3426, ""bn"", ""en"")"),"How did religion find its way into politics in a state where West Bengal has long been a stronghold of the Left - who themselves tried to stay away from religion and did not bring religion into politics?")</f>
        <v>How did religion find its way into politics in a state where West Bengal has long been a stronghold of the Left - who themselves tried to stay away from religion and did not bring religion into politics?</v>
      </c>
      <c r="D3426" s="5"/>
      <c r="E3426" s="5"/>
      <c r="F3426" s="5"/>
      <c r="G3426" s="5"/>
      <c r="H3426" s="5"/>
      <c r="I3426" s="5"/>
      <c r="J3426" s="5"/>
      <c r="K3426" s="5"/>
      <c r="L3426" s="5"/>
      <c r="M3426" s="5"/>
      <c r="N3426" s="5"/>
      <c r="O3426" s="5"/>
      <c r="P3426" s="5"/>
      <c r="Q3426" s="5"/>
      <c r="R3426" s="5"/>
      <c r="S3426" s="5"/>
      <c r="T3426" s="5"/>
      <c r="U3426" s="5"/>
      <c r="V3426" s="5"/>
      <c r="W3426" s="5"/>
      <c r="X3426" s="5"/>
      <c r="Y3426" s="5"/>
      <c r="Z3426" s="5"/>
    </row>
    <row r="3427" spans="1:26" ht="15.6" x14ac:dyDescent="0.3">
      <c r="A3427" s="19" t="s">
        <v>8</v>
      </c>
      <c r="B3427" s="26" t="s">
        <v>3414</v>
      </c>
      <c r="C3427" s="2" t="str">
        <f ca="1">IFERROR(__xludf.DUMMYFUNCTION("GOOGLETRANSLATE(B3427, ""bn"", ""en"")"),"Around 10 am that day, a picture and video of it spread widely on social media. Where seen, the statue has the Quran near its knees and the weapon (the mace) held by the Hanuman statue is missing. [17] Many have made provocative statements on the matter, "&amp;"alleging desecration of the Quran. When the issue went viral on social media, incidents of attacks, vandalism and beatings started happening in various districts of the country.")</f>
        <v>Around 10 am that day, a picture and video of it spread widely on social media. Where seen, the statue has the Quran near its knees and the weapon (the mace) held by the Hanuman statue is missing. [17] Many have made provocative statements on the matter, alleging desecration of the Quran. When the issue went viral on social media, incidents of attacks, vandalism and beatings started happening in various districts of the country.</v>
      </c>
      <c r="D3427" s="7"/>
      <c r="E3427" s="7"/>
      <c r="F3427" s="7"/>
      <c r="G3427" s="7"/>
      <c r="H3427" s="7"/>
      <c r="I3427" s="7"/>
      <c r="J3427" s="7"/>
      <c r="K3427" s="7"/>
      <c r="L3427" s="7"/>
      <c r="M3427" s="7"/>
      <c r="N3427" s="7"/>
      <c r="O3427" s="7"/>
      <c r="P3427" s="7"/>
      <c r="Q3427" s="7"/>
      <c r="R3427" s="7"/>
      <c r="S3427" s="7"/>
      <c r="T3427" s="7"/>
      <c r="U3427" s="7"/>
      <c r="V3427" s="7"/>
      <c r="W3427" s="7"/>
      <c r="X3427" s="5"/>
      <c r="Y3427" s="5"/>
      <c r="Z3427" s="5"/>
    </row>
    <row r="3428" spans="1:26" ht="15.6" x14ac:dyDescent="0.3">
      <c r="A3428" s="18" t="s">
        <v>5</v>
      </c>
      <c r="B3428" s="24" t="s">
        <v>3415</v>
      </c>
      <c r="C3428" s="2" t="str">
        <f ca="1">IFERROR(__xludf.DUMMYFUNCTION("GOOGLETRANSLATE(B3428, ""bn"", ""en"")"),"A youth was killed for apostasy from a religious group in Bogra; Fourteen people were killed in the clash.")</f>
        <v>A youth was killed for apostasy from a religious group in Bogra; Fourteen people were killed in the clash.</v>
      </c>
      <c r="D3428" s="5"/>
      <c r="E3428" s="5"/>
      <c r="F3428" s="5"/>
      <c r="G3428" s="5"/>
      <c r="H3428" s="5"/>
      <c r="I3428" s="5"/>
      <c r="J3428" s="5"/>
      <c r="K3428" s="5"/>
      <c r="L3428" s="5"/>
      <c r="M3428" s="5"/>
      <c r="N3428" s="5"/>
      <c r="O3428" s="5"/>
      <c r="P3428" s="5"/>
      <c r="Q3428" s="5"/>
      <c r="R3428" s="5"/>
      <c r="S3428" s="5"/>
      <c r="T3428" s="5"/>
      <c r="U3428" s="5"/>
      <c r="V3428" s="5"/>
      <c r="W3428" s="5"/>
      <c r="X3428" s="5"/>
      <c r="Y3428" s="5"/>
      <c r="Z3428" s="5"/>
    </row>
    <row r="3429" spans="1:26" ht="15.6" x14ac:dyDescent="0.3">
      <c r="A3429" s="19" t="s">
        <v>3</v>
      </c>
      <c r="B3429" s="26" t="s">
        <v>3416</v>
      </c>
      <c r="C3429" s="2" t="str">
        <f ca="1">IFERROR(__xludf.DUMMYFUNCTION("GOOGLETRANSLATE(B3429, ""bn"", ""en"")"),"Because he does not have the ability to understand the majesty of Allah Pak, he may not understand Him. He is Allah Pak. May Allah grant me the grace to paint my life with your colors (Amin).")</f>
        <v>Because he does not have the ability to understand the majesty of Allah Pak, he may not understand Him. He is Allah Pak. May Allah grant me the grace to paint my life with your colors (Amin).</v>
      </c>
      <c r="D3429" s="5"/>
      <c r="E3429" s="5"/>
      <c r="F3429" s="5"/>
      <c r="G3429" s="5"/>
      <c r="H3429" s="5"/>
      <c r="I3429" s="5"/>
      <c r="J3429" s="5"/>
      <c r="K3429" s="5"/>
      <c r="L3429" s="5"/>
      <c r="M3429" s="5"/>
      <c r="N3429" s="5"/>
      <c r="O3429" s="5"/>
      <c r="P3429" s="5"/>
      <c r="Q3429" s="5"/>
      <c r="R3429" s="5"/>
      <c r="S3429" s="5"/>
      <c r="T3429" s="5"/>
      <c r="U3429" s="5"/>
      <c r="V3429" s="5"/>
      <c r="W3429" s="5"/>
      <c r="X3429" s="5"/>
      <c r="Y3429" s="5"/>
      <c r="Z3429" s="5"/>
    </row>
    <row r="3430" spans="1:26" ht="15.6" x14ac:dyDescent="0.3">
      <c r="A3430" s="18" t="s">
        <v>5</v>
      </c>
      <c r="B3430" s="24" t="s">
        <v>3417</v>
      </c>
      <c r="C3430" s="2" t="str">
        <f ca="1">IFERROR(__xludf.DUMMYFUNCTION("GOOGLETRANSLATE(B3430, ""bn"", ""en"")"),"In December 1992, Hindus were attacked in Bangladesh after the Babri Masjid demolition. 13 people were killed, 2800 houses were destroyed and 2600 women were raped.")</f>
        <v>In December 1992, Hindus were attacked in Bangladesh after the Babri Masjid demolition. 13 people were killed, 2800 houses were destroyed and 2600 women were raped.</v>
      </c>
      <c r="D3430" s="5"/>
      <c r="E3430" s="5"/>
      <c r="F3430" s="5"/>
      <c r="G3430" s="5"/>
      <c r="H3430" s="5"/>
      <c r="I3430" s="5"/>
      <c r="J3430" s="5"/>
      <c r="K3430" s="5"/>
      <c r="L3430" s="5"/>
      <c r="M3430" s="5"/>
      <c r="N3430" s="5"/>
      <c r="O3430" s="5"/>
      <c r="P3430" s="5"/>
      <c r="Q3430" s="5"/>
      <c r="R3430" s="5"/>
      <c r="S3430" s="5"/>
      <c r="T3430" s="5"/>
      <c r="U3430" s="5"/>
      <c r="V3430" s="5"/>
      <c r="W3430" s="5"/>
      <c r="X3430" s="5"/>
      <c r="Y3430" s="5"/>
      <c r="Z3430" s="5"/>
    </row>
    <row r="3431" spans="1:26" ht="15.6" x14ac:dyDescent="0.3">
      <c r="A3431" s="18" t="s">
        <v>5</v>
      </c>
      <c r="B3431" s="24" t="s">
        <v>3418</v>
      </c>
      <c r="C3431" s="2" t="str">
        <f ca="1">IFERROR(__xludf.DUMMYFUNCTION("GOOGLETRANSLATE(B3431, ""bn"", ""en"")"),"15 people were killed when a group blocked a religious procession.")</f>
        <v>15 people were killed when a group blocked a religious procession.</v>
      </c>
      <c r="D3431" s="5"/>
      <c r="E3431" s="5"/>
      <c r="F3431" s="5"/>
      <c r="G3431" s="5"/>
      <c r="H3431" s="5"/>
      <c r="I3431" s="5"/>
      <c r="J3431" s="5"/>
      <c r="K3431" s="5"/>
      <c r="L3431" s="5"/>
      <c r="M3431" s="5"/>
      <c r="N3431" s="5"/>
      <c r="O3431" s="5"/>
      <c r="P3431" s="5"/>
      <c r="Q3431" s="5"/>
      <c r="R3431" s="5"/>
      <c r="S3431" s="5"/>
      <c r="T3431" s="5"/>
      <c r="U3431" s="5"/>
      <c r="V3431" s="5"/>
      <c r="W3431" s="5"/>
      <c r="X3431" s="5"/>
      <c r="Y3431" s="5"/>
      <c r="Z3431" s="5"/>
    </row>
    <row r="3432" spans="1:26" ht="15.6" x14ac:dyDescent="0.3">
      <c r="A3432" s="19" t="s">
        <v>23</v>
      </c>
      <c r="B3432" s="26" t="s">
        <v>3419</v>
      </c>
      <c r="C3432" s="2" t="str">
        <f ca="1">IFERROR(__xludf.DUMMYFUNCTION("GOOGLETRANSLATE(B3432, ""bn"", ""en"")"),"Police say two Muslim men have been arrested after they hacked a Hindu man's Facebook page and posted messages derogatory to the Prophet.")</f>
        <v>Police say two Muslim men have been arrested after they hacked a Hindu man's Facebook page and posted messages derogatory to the Prophet.</v>
      </c>
      <c r="D3432" s="5"/>
      <c r="E3432" s="5"/>
      <c r="F3432" s="5"/>
      <c r="G3432" s="5"/>
      <c r="H3432" s="5"/>
      <c r="I3432" s="5"/>
      <c r="J3432" s="5"/>
      <c r="K3432" s="5"/>
      <c r="L3432" s="5"/>
      <c r="M3432" s="5"/>
      <c r="N3432" s="5"/>
      <c r="O3432" s="5"/>
      <c r="P3432" s="5"/>
      <c r="Q3432" s="5"/>
      <c r="R3432" s="5"/>
      <c r="S3432" s="5"/>
      <c r="T3432" s="5"/>
      <c r="U3432" s="5"/>
      <c r="V3432" s="5"/>
      <c r="W3432" s="5"/>
      <c r="X3432" s="5"/>
      <c r="Y3432" s="5"/>
      <c r="Z3432" s="5"/>
    </row>
    <row r="3433" spans="1:26" ht="15.6" x14ac:dyDescent="0.3">
      <c r="A3433" s="18" t="s">
        <v>5</v>
      </c>
      <c r="B3433" s="24" t="s">
        <v>3420</v>
      </c>
      <c r="C3433" s="2" t="str">
        <f ca="1">IFERROR(__xludf.DUMMYFUNCTION("GOOGLETRANSLATE(B3433, ""bn"", ""en"")"),"On 19 October 2021, Hindus were attacked in Parashuram, Feni, vandalizing temples and houses, killing 13 people.")</f>
        <v>On 19 October 2021, Hindus were attacked in Parashuram, Feni, vandalizing temples and houses, killing 13 people.</v>
      </c>
      <c r="D3433" s="5"/>
      <c r="E3433" s="5"/>
      <c r="F3433" s="5"/>
      <c r="G3433" s="5"/>
      <c r="H3433" s="5"/>
      <c r="I3433" s="5"/>
      <c r="J3433" s="5"/>
      <c r="K3433" s="5"/>
      <c r="L3433" s="5"/>
      <c r="M3433" s="5"/>
      <c r="N3433" s="5"/>
      <c r="O3433" s="5"/>
      <c r="P3433" s="5"/>
      <c r="Q3433" s="5"/>
      <c r="R3433" s="5"/>
      <c r="S3433" s="5"/>
      <c r="T3433" s="5"/>
      <c r="U3433" s="5"/>
      <c r="V3433" s="5"/>
      <c r="W3433" s="5"/>
      <c r="X3433" s="5"/>
      <c r="Y3433" s="5"/>
      <c r="Z3433" s="5"/>
    </row>
    <row r="3434" spans="1:26" ht="15.6" x14ac:dyDescent="0.3">
      <c r="A3434" s="18" t="s">
        <v>8</v>
      </c>
      <c r="B3434" s="25" t="s">
        <v>3421</v>
      </c>
      <c r="C3434" s="2" t="str">
        <f ca="1">IFERROR(__xludf.DUMMYFUNCTION("GOOGLETRANSLATE(B3434, ""bn"", ""en"")"),"The Muslims burnt down the house of the Buddhist zamindar of Lamburhat under Raujan police station.")</f>
        <v>The Muslims burnt down the house of the Buddhist zamindar of Lamburhat under Raujan police station.</v>
      </c>
      <c r="D3434" s="2"/>
      <c r="E3434" s="2"/>
      <c r="F3434" s="2"/>
      <c r="G3434" s="2"/>
      <c r="H3434" s="3"/>
      <c r="I3434" s="3"/>
      <c r="J3434" s="3"/>
      <c r="K3434" s="3"/>
      <c r="L3434" s="3"/>
      <c r="M3434" s="3"/>
      <c r="N3434" s="3"/>
      <c r="O3434" s="3"/>
      <c r="P3434" s="3"/>
      <c r="Q3434" s="3"/>
      <c r="R3434" s="3"/>
      <c r="S3434" s="3"/>
      <c r="T3434" s="3"/>
      <c r="U3434" s="3"/>
      <c r="V3434" s="3"/>
      <c r="W3434" s="3"/>
      <c r="X3434" s="3"/>
      <c r="Y3434" s="3"/>
      <c r="Z3434" s="3"/>
    </row>
    <row r="3435" spans="1:26" ht="15.6" x14ac:dyDescent="0.3">
      <c r="A3435" s="19" t="s">
        <v>5</v>
      </c>
      <c r="B3435" s="26" t="s">
        <v>3422</v>
      </c>
      <c r="C3435" s="2" t="str">
        <f ca="1">IFERROR(__xludf.DUMMYFUNCTION("GOOGLETRANSLATE(B3435, ""bn"", ""en"")"),"At another public meeting in Loppur Bazaar, Abdus Sabur Khan announced that he would make shoes from the hides of Hindus. Sabur Khan organized a royal ceremony for his niece's wedding, laying the groundwork for a wanton massacre of Hindus.")</f>
        <v>At another public meeting in Loppur Bazaar, Abdus Sabur Khan announced that he would make shoes from the hides of Hindus. Sabur Khan organized a royal ceremony for his niece's wedding, laying the groundwork for a wanton massacre of Hindus.</v>
      </c>
      <c r="D3435" s="7"/>
      <c r="E3435" s="7"/>
      <c r="F3435" s="7"/>
      <c r="G3435" s="5"/>
      <c r="H3435" s="5"/>
      <c r="I3435" s="5"/>
      <c r="J3435" s="5"/>
      <c r="K3435" s="5"/>
      <c r="L3435" s="5"/>
      <c r="M3435" s="5"/>
      <c r="N3435" s="5"/>
      <c r="O3435" s="5"/>
      <c r="P3435" s="5"/>
      <c r="Q3435" s="5"/>
      <c r="R3435" s="5"/>
      <c r="S3435" s="5"/>
      <c r="T3435" s="5"/>
      <c r="U3435" s="5"/>
      <c r="V3435" s="5"/>
      <c r="W3435" s="5"/>
      <c r="X3435" s="5"/>
      <c r="Y3435" s="5"/>
      <c r="Z3435" s="5"/>
    </row>
    <row r="3436" spans="1:26" ht="15.6" x14ac:dyDescent="0.3">
      <c r="A3436" s="18" t="s">
        <v>5</v>
      </c>
      <c r="B3436" s="24" t="s">
        <v>3423</v>
      </c>
      <c r="C3436" s="2" t="str">
        <f ca="1">IFERROR(__xludf.DUMMYFUNCTION("GOOGLETRANSLATE(B3436, ""bn"", ""en"")"),"In October 2019, 27 people were killed when a religious group set fire to a minority house.")</f>
        <v>In October 2019, 27 people were killed when a religious group set fire to a minority house.</v>
      </c>
      <c r="D3436" s="5"/>
      <c r="E3436" s="5"/>
      <c r="F3436" s="5"/>
      <c r="G3436" s="5"/>
      <c r="H3436" s="5"/>
      <c r="I3436" s="5"/>
      <c r="J3436" s="5"/>
      <c r="K3436" s="5"/>
      <c r="L3436" s="5"/>
      <c r="M3436" s="5"/>
      <c r="N3436" s="5"/>
      <c r="O3436" s="5"/>
      <c r="P3436" s="5"/>
      <c r="Q3436" s="5"/>
      <c r="R3436" s="5"/>
      <c r="S3436" s="5"/>
      <c r="T3436" s="5"/>
      <c r="U3436" s="5"/>
      <c r="V3436" s="5"/>
      <c r="W3436" s="5"/>
      <c r="X3436" s="5"/>
      <c r="Y3436" s="5"/>
      <c r="Z3436" s="5"/>
    </row>
    <row r="3437" spans="1:26" ht="15.6" x14ac:dyDescent="0.3">
      <c r="A3437" s="19" t="s">
        <v>8</v>
      </c>
      <c r="B3437" s="26" t="s">
        <v>3424</v>
      </c>
      <c r="C3437" s="2" t="str">
        <f ca="1">IFERROR(__xludf.DUMMYFUNCTION("GOOGLETRANSLATE(B3437, ""bn"", ""en"")"),"In the evening they ransacked some houses of Shobhaganj Union. Hindu community leaders alleged that attackers vandalized the central Kali temple in Mithapukur upazila of Rangpur district")</f>
        <v>In the evening they ransacked some houses of Shobhaganj Union. Hindu community leaders alleged that attackers vandalized the central Kali temple in Mithapukur upazila of Rangpur district</v>
      </c>
      <c r="D3437" s="5"/>
      <c r="E3437" s="5"/>
      <c r="F3437" s="5"/>
      <c r="G3437" s="5"/>
      <c r="H3437" s="5"/>
      <c r="I3437" s="5"/>
      <c r="J3437" s="5"/>
      <c r="K3437" s="5"/>
      <c r="L3437" s="5"/>
      <c r="M3437" s="5"/>
      <c r="N3437" s="5"/>
      <c r="O3437" s="5"/>
      <c r="P3437" s="5"/>
      <c r="Q3437" s="5"/>
      <c r="R3437" s="5"/>
      <c r="S3437" s="5"/>
      <c r="T3437" s="5"/>
      <c r="U3437" s="5"/>
      <c r="V3437" s="5"/>
      <c r="W3437" s="5"/>
      <c r="X3437" s="5"/>
      <c r="Y3437" s="5"/>
      <c r="Z3437" s="5"/>
    </row>
    <row r="3438" spans="1:26" ht="15.6" x14ac:dyDescent="0.3">
      <c r="A3438" s="18" t="s">
        <v>23</v>
      </c>
      <c r="B3438" s="25" t="s">
        <v>3425</v>
      </c>
      <c r="C3438" s="2" t="str">
        <f ca="1">IFERROR(__xludf.DUMMYFUNCTION("GOOGLETRANSLATE(B3438, ""bn"", ""en"")"),"This law is not for any particular religion or to protect a single religion. Apart from this, the Digital Security Act, 2018 makes it a punishable offense to hurt religious sentiments in electronic format.")</f>
        <v>This law is not for any particular religion or to protect a single religion. Apart from this, the Digital Security Act, 2018 makes it a punishable offense to hurt religious sentiments in electronic format.</v>
      </c>
      <c r="D3438" s="6"/>
      <c r="E3438" s="2"/>
      <c r="F3438" s="2"/>
      <c r="G3438" s="2"/>
      <c r="H3438" s="5"/>
      <c r="I3438" s="5"/>
      <c r="J3438" s="5"/>
      <c r="K3438" s="5"/>
      <c r="L3438" s="5"/>
      <c r="M3438" s="5"/>
      <c r="N3438" s="5"/>
      <c r="O3438" s="5"/>
      <c r="P3438" s="5"/>
      <c r="Q3438" s="5"/>
      <c r="R3438" s="5"/>
      <c r="S3438" s="5"/>
      <c r="T3438" s="5"/>
      <c r="U3438" s="5"/>
      <c r="V3438" s="5"/>
      <c r="W3438" s="5"/>
      <c r="X3438" s="5"/>
      <c r="Y3438" s="5"/>
      <c r="Z3438" s="5"/>
    </row>
    <row r="3439" spans="1:26" ht="15.6" x14ac:dyDescent="0.3">
      <c r="A3439" s="19" t="s">
        <v>5</v>
      </c>
      <c r="B3439" s="26" t="s">
        <v>3426</v>
      </c>
      <c r="C3439" s="2" t="str">
        <f ca="1">IFERROR(__xludf.DUMMYFUNCTION("GOOGLETRANSLATE(B3439, ""bn"", ""en"")"),"Every person born on earth is bound to die. Allah Ta'ala says in the Holy Qur'an, wherever you are, death will reach you; Even though you stay in high and strong fortresses.")</f>
        <v>Every person born on earth is bound to die. Allah Ta'ala says in the Holy Qur'an, wherever you are, death will reach you; Even though you stay in high and strong fortresses.</v>
      </c>
      <c r="D3439" s="5"/>
      <c r="E3439" s="5"/>
      <c r="F3439" s="5"/>
      <c r="G3439" s="5"/>
      <c r="H3439" s="5"/>
      <c r="I3439" s="5"/>
      <c r="J3439" s="5"/>
      <c r="K3439" s="5"/>
      <c r="L3439" s="5"/>
      <c r="M3439" s="5"/>
      <c r="N3439" s="5"/>
      <c r="O3439" s="5"/>
      <c r="P3439" s="5"/>
      <c r="Q3439" s="5"/>
      <c r="R3439" s="5"/>
      <c r="S3439" s="5"/>
      <c r="T3439" s="5"/>
      <c r="U3439" s="5"/>
      <c r="V3439" s="5"/>
      <c r="W3439" s="5"/>
      <c r="X3439" s="5"/>
      <c r="Y3439" s="5"/>
      <c r="Z3439" s="5"/>
    </row>
    <row r="3440" spans="1:26" ht="15.6" x14ac:dyDescent="0.3">
      <c r="A3440" s="18" t="s">
        <v>8</v>
      </c>
      <c r="B3440" s="24" t="s">
        <v>3427</v>
      </c>
      <c r="C3440" s="2" t="str">
        <f ca="1">IFERROR(__xludf.DUMMYFUNCTION("GOOGLETRANSLATE(B3440, ""bn"", ""en"")"),"At Barguna, the roof of a newly constructed temple was attacked and the idols under construction were smashed.")</f>
        <v>At Barguna, the roof of a newly constructed temple was attacked and the idols under construction were smashed.</v>
      </c>
      <c r="D3440" s="5"/>
      <c r="E3440" s="5"/>
      <c r="F3440" s="5"/>
      <c r="G3440" s="5"/>
      <c r="H3440" s="5"/>
      <c r="I3440" s="5"/>
      <c r="J3440" s="5"/>
      <c r="K3440" s="5"/>
      <c r="L3440" s="5"/>
      <c r="M3440" s="5"/>
      <c r="N3440" s="5"/>
      <c r="O3440" s="5"/>
      <c r="P3440" s="5"/>
      <c r="Q3440" s="5"/>
      <c r="R3440" s="5"/>
      <c r="S3440" s="5"/>
      <c r="T3440" s="5"/>
      <c r="U3440" s="5"/>
      <c r="V3440" s="5"/>
      <c r="W3440" s="5"/>
      <c r="X3440" s="5"/>
      <c r="Y3440" s="5"/>
      <c r="Z3440" s="5"/>
    </row>
    <row r="3441" spans="1:26" ht="15.6" x14ac:dyDescent="0.3">
      <c r="A3441" s="18" t="s">
        <v>23</v>
      </c>
      <c r="B3441" s="24" t="s">
        <v>3428</v>
      </c>
      <c r="C3441" s="2" t="str">
        <f ca="1">IFERROR(__xludf.DUMMYFUNCTION("GOOGLETRANSLATE(B3441, ""bn"", ""en"")"),"Hindu food, dress, culture are all impure, Muslims should stay away from them.")</f>
        <v>Hindu food, dress, culture are all impure, Muslims should stay away from them.</v>
      </c>
      <c r="D3441" s="5"/>
      <c r="E3441" s="5"/>
      <c r="F3441" s="5"/>
      <c r="G3441" s="5"/>
      <c r="H3441" s="5"/>
      <c r="I3441" s="5"/>
      <c r="J3441" s="5"/>
      <c r="K3441" s="5"/>
      <c r="L3441" s="5"/>
      <c r="M3441" s="5"/>
      <c r="N3441" s="5"/>
      <c r="O3441" s="5"/>
      <c r="P3441" s="5"/>
      <c r="Q3441" s="5"/>
      <c r="R3441" s="5"/>
      <c r="S3441" s="5"/>
      <c r="T3441" s="5"/>
      <c r="U3441" s="5"/>
      <c r="V3441" s="5"/>
      <c r="W3441" s="5"/>
      <c r="X3441" s="5"/>
      <c r="Y3441" s="5"/>
      <c r="Z3441" s="5"/>
    </row>
    <row r="3442" spans="1:26" ht="15.6" x14ac:dyDescent="0.3">
      <c r="A3442" s="19" t="s">
        <v>8</v>
      </c>
      <c r="B3442" s="26" t="s">
        <v>3429</v>
      </c>
      <c r="C3442" s="2" t="str">
        <f ca="1">IFERROR(__xludf.DUMMYFUNCTION("GOOGLETRANSLATE(B3442, ""bn"", ""en"")"),"There have been repeated incidents of burning the Holy Quran. In response to this, protests have continued in several Muslim countries for the past few weeks. The Muslim world, including Saudi Arabia, was quick to express its outrage. Not only that, the S"&amp;"wedish and Danish ambassadors were summoned and made a formal protest.")</f>
        <v>There have been repeated incidents of burning the Holy Quran. In response to this, protests have continued in several Muslim countries for the past few weeks. The Muslim world, including Saudi Arabia, was quick to express its outrage. Not only that, the Swedish and Danish ambassadors were summoned and made a formal protest.</v>
      </c>
      <c r="D3442" s="7"/>
      <c r="E3442" s="7"/>
      <c r="F3442" s="7"/>
      <c r="G3442" s="7"/>
      <c r="H3442" s="5"/>
      <c r="I3442" s="5"/>
      <c r="J3442" s="5"/>
      <c r="K3442" s="5"/>
      <c r="L3442" s="5"/>
      <c r="M3442" s="5"/>
      <c r="N3442" s="5"/>
      <c r="O3442" s="5"/>
      <c r="P3442" s="5"/>
      <c r="Q3442" s="5"/>
      <c r="R3442" s="5"/>
      <c r="S3442" s="5"/>
      <c r="T3442" s="5"/>
      <c r="U3442" s="5"/>
      <c r="V3442" s="5"/>
      <c r="W3442" s="5"/>
      <c r="X3442" s="5"/>
      <c r="Y3442" s="5"/>
      <c r="Z3442" s="5"/>
    </row>
    <row r="3443" spans="1:26" ht="15.6" x14ac:dyDescent="0.3">
      <c r="A3443" s="19" t="s">
        <v>3</v>
      </c>
      <c r="B3443" s="26" t="s">
        <v>3430</v>
      </c>
      <c r="C3443" s="2" t="str">
        <f ca="1">IFERROR(__xludf.DUMMYFUNCTION("GOOGLETRANSLATE(B3443, ""bn"", ""en"")"),"If everyone could think like this, practicing Islam would be easy. If big media personalities give importance to practicing Islam, it will be beneficial for the religion.")</f>
        <v>If everyone could think like this, practicing Islam would be easy. If big media personalities give importance to practicing Islam, it will be beneficial for the religion.</v>
      </c>
      <c r="D3443" s="7"/>
      <c r="E3443" s="7"/>
      <c r="F3443" s="7"/>
      <c r="G3443" s="7"/>
      <c r="H3443" s="7"/>
      <c r="I3443" s="7"/>
      <c r="J3443" s="7"/>
      <c r="K3443" s="5"/>
      <c r="L3443" s="5"/>
      <c r="M3443" s="5"/>
      <c r="N3443" s="5"/>
      <c r="O3443" s="5"/>
      <c r="P3443" s="5"/>
      <c r="Q3443" s="5"/>
      <c r="R3443" s="5"/>
      <c r="S3443" s="5"/>
      <c r="T3443" s="5"/>
      <c r="U3443" s="5"/>
      <c r="V3443" s="5"/>
      <c r="W3443" s="5"/>
      <c r="X3443" s="5"/>
      <c r="Y3443" s="5"/>
      <c r="Z3443" s="5"/>
    </row>
    <row r="3444" spans="1:26" ht="15.6" x14ac:dyDescent="0.3">
      <c r="A3444" s="19" t="s">
        <v>3</v>
      </c>
      <c r="B3444" s="26" t="s">
        <v>3431</v>
      </c>
      <c r="C3444" s="2" t="str">
        <f ca="1">IFERROR(__xludf.DUMMYFUNCTION("GOOGLETRANSLATE(B3444, ""bn"", ""en"")"),"Allah says in the Quran that every creature on earth is part of His creation and it is our duty to show kindness and care to them.")</f>
        <v>Allah says in the Quran that every creature on earth is part of His creation and it is our duty to show kindness and care to them.</v>
      </c>
      <c r="D3444" s="5"/>
      <c r="E3444" s="5"/>
      <c r="F3444" s="5"/>
      <c r="G3444" s="5"/>
      <c r="H3444" s="5"/>
      <c r="I3444" s="5"/>
      <c r="J3444" s="5"/>
      <c r="K3444" s="5"/>
      <c r="L3444" s="5"/>
      <c r="M3444" s="5"/>
      <c r="N3444" s="5"/>
      <c r="O3444" s="5"/>
      <c r="P3444" s="5"/>
      <c r="Q3444" s="5"/>
      <c r="R3444" s="5"/>
      <c r="S3444" s="5"/>
      <c r="T3444" s="5"/>
      <c r="U3444" s="5"/>
      <c r="V3444" s="5"/>
      <c r="W3444" s="5"/>
      <c r="X3444" s="5"/>
      <c r="Y3444" s="5"/>
      <c r="Z3444" s="5"/>
    </row>
    <row r="3445" spans="1:26" ht="15.6" x14ac:dyDescent="0.3">
      <c r="A3445" s="18" t="s">
        <v>3</v>
      </c>
      <c r="B3445" s="25" t="s">
        <v>3432</v>
      </c>
      <c r="C3445" s="2" t="str">
        <f ca="1">IFERROR(__xludf.DUMMYFUNCTION("GOOGLETRANSLATE(B3445, ""bn"", ""en"")"),"If you spoke the gunas a little slower, the understanding would be better. May Allah keep you well and bless you more in the service of Deen.")</f>
        <v>If you spoke the gunas a little slower, the understanding would be better. May Allah keep you well and bless you more in the service of Deen.</v>
      </c>
      <c r="D3445" s="5"/>
      <c r="E3445" s="5"/>
      <c r="F3445" s="5"/>
      <c r="G3445" s="5"/>
      <c r="H3445" s="5"/>
      <c r="I3445" s="5"/>
      <c r="J3445" s="5"/>
      <c r="K3445" s="5"/>
      <c r="L3445" s="5"/>
      <c r="M3445" s="5"/>
      <c r="N3445" s="5"/>
      <c r="O3445" s="5"/>
      <c r="P3445" s="5"/>
      <c r="Q3445" s="5"/>
      <c r="R3445" s="5"/>
      <c r="S3445" s="5"/>
      <c r="T3445" s="5"/>
      <c r="U3445" s="5"/>
      <c r="V3445" s="5"/>
      <c r="W3445" s="5"/>
      <c r="X3445" s="5"/>
      <c r="Y3445" s="5"/>
      <c r="Z3445" s="5"/>
    </row>
    <row r="3446" spans="1:26" ht="15.6" x14ac:dyDescent="0.3">
      <c r="A3446" s="18" t="s">
        <v>8</v>
      </c>
      <c r="B3446" s="25" t="s">
        <v>3433</v>
      </c>
      <c r="C3446" s="2" t="str">
        <f ca="1">IFERROR(__xludf.DUMMYFUNCTION("GOOGLETRANSLATE(B3446, ""bn"", ""en"")"),"A Hindu temple was set on fire in Nalchira union of Gournadi upazila in Barisal district. The Pingalkathi public Durga temple was vandalized.")</f>
        <v>A Hindu temple was set on fire in Nalchira union of Gournadi upazila in Barisal district. The Pingalkathi public Durga temple was vandalized.</v>
      </c>
      <c r="D3446" s="5"/>
      <c r="E3446" s="5"/>
      <c r="F3446" s="5"/>
      <c r="G3446" s="5"/>
      <c r="H3446" s="5"/>
      <c r="I3446" s="5"/>
      <c r="J3446" s="5"/>
      <c r="K3446" s="5"/>
      <c r="L3446" s="5"/>
      <c r="M3446" s="5"/>
      <c r="N3446" s="5"/>
      <c r="O3446" s="5"/>
      <c r="P3446" s="5"/>
      <c r="Q3446" s="5"/>
      <c r="R3446" s="5"/>
      <c r="S3446" s="5"/>
      <c r="T3446" s="5"/>
      <c r="U3446" s="5"/>
      <c r="V3446" s="5"/>
      <c r="W3446" s="5"/>
      <c r="X3446" s="5"/>
      <c r="Y3446" s="5"/>
      <c r="Z3446" s="5"/>
    </row>
    <row r="3447" spans="1:26" ht="15.6" x14ac:dyDescent="0.3">
      <c r="A3447" s="18" t="s">
        <v>23</v>
      </c>
      <c r="B3447" s="25" t="s">
        <v>3434</v>
      </c>
      <c r="C3447" s="2" t="str">
        <f ca="1">IFERROR(__xludf.DUMMYFUNCTION("GOOGLETRANSLATE(B3447, ""bn"", ""en"")"),"It is true that he was born in the religion of Islam, but never tried to know about Islam, never tried to understand the verses of the Quran, even if he tried to know a little about Islam, he would not have taken such a decision.")</f>
        <v>It is true that he was born in the religion of Islam, but never tried to know about Islam, never tried to understand the verses of the Quran, even if he tried to know a little about Islam, he would not have taken such a decision.</v>
      </c>
      <c r="D3447" s="6"/>
      <c r="E3447" s="2"/>
      <c r="F3447" s="2"/>
      <c r="G3447" s="2"/>
      <c r="H3447" s="3"/>
      <c r="I3447" s="3"/>
      <c r="J3447" s="3"/>
      <c r="K3447" s="3"/>
      <c r="L3447" s="3"/>
      <c r="M3447" s="3"/>
      <c r="N3447" s="3"/>
      <c r="O3447" s="3"/>
      <c r="P3447" s="3"/>
      <c r="Q3447" s="3"/>
      <c r="R3447" s="3"/>
      <c r="S3447" s="3"/>
      <c r="T3447" s="3"/>
      <c r="U3447" s="3"/>
      <c r="V3447" s="3"/>
      <c r="W3447" s="3"/>
      <c r="X3447" s="3"/>
      <c r="Y3447" s="3"/>
      <c r="Z3447" s="3"/>
    </row>
    <row r="3448" spans="1:26" ht="15.6" x14ac:dyDescent="0.3">
      <c r="A3448" s="18" t="s">
        <v>8</v>
      </c>
      <c r="B3448" s="25" t="s">
        <v>3435</v>
      </c>
      <c r="C3448" s="2" t="str">
        <f ca="1">IFERROR(__xludf.DUMMYFUNCTION("GOOGLETRANSLATE(B3448, ""bn"", ""en"")"),"During the First World War of 1912–13, 13,000 Muslims in the region were forcibly converted to Christianity.")</f>
        <v>During the First World War of 1912–13, 13,000 Muslims in the region were forcibly converted to Christianity.</v>
      </c>
      <c r="D3448" s="2"/>
      <c r="E3448" s="2"/>
      <c r="F3448" s="2"/>
      <c r="G3448" s="2"/>
      <c r="H3448" s="3"/>
      <c r="I3448" s="3"/>
      <c r="J3448" s="3"/>
      <c r="K3448" s="3"/>
      <c r="L3448" s="3"/>
      <c r="M3448" s="3"/>
      <c r="N3448" s="3"/>
      <c r="O3448" s="3"/>
      <c r="P3448" s="3"/>
      <c r="Q3448" s="3"/>
      <c r="R3448" s="3"/>
      <c r="S3448" s="3"/>
      <c r="T3448" s="3"/>
      <c r="U3448" s="3"/>
      <c r="V3448" s="3"/>
      <c r="W3448" s="3"/>
      <c r="X3448" s="3"/>
      <c r="Y3448" s="3"/>
      <c r="Z3448" s="3"/>
    </row>
    <row r="3449" spans="1:26" ht="15.6" x14ac:dyDescent="0.3">
      <c r="A3449" s="19" t="s">
        <v>3</v>
      </c>
      <c r="B3449" s="26" t="s">
        <v>3436</v>
      </c>
      <c r="C3449" s="2" t="str">
        <f ca="1">IFERROR(__xludf.DUMMYFUNCTION("GOOGLETRANSLATE(B3449, ""bn"", ""en"")"),"Justice, education and religion are mentioned in every scripture.")</f>
        <v>Justice, education and religion are mentioned in every scripture.</v>
      </c>
      <c r="D3449" s="5"/>
      <c r="E3449" s="5"/>
      <c r="F3449" s="5"/>
      <c r="G3449" s="5"/>
      <c r="H3449" s="5"/>
      <c r="I3449" s="5"/>
      <c r="J3449" s="5"/>
      <c r="K3449" s="5"/>
      <c r="L3449" s="5"/>
      <c r="M3449" s="5"/>
      <c r="N3449" s="5"/>
      <c r="O3449" s="5"/>
      <c r="P3449" s="5"/>
      <c r="Q3449" s="5"/>
      <c r="R3449" s="5"/>
      <c r="S3449" s="5"/>
      <c r="T3449" s="5"/>
      <c r="U3449" s="5"/>
      <c r="V3449" s="5"/>
      <c r="W3449" s="5"/>
      <c r="X3449" s="5"/>
      <c r="Y3449" s="5"/>
      <c r="Z3449" s="5"/>
    </row>
    <row r="3450" spans="1:26" ht="15.6" x14ac:dyDescent="0.3">
      <c r="A3450" s="18" t="s">
        <v>23</v>
      </c>
      <c r="B3450" s="25" t="s">
        <v>3437</v>
      </c>
      <c r="C3450" s="2" t="str">
        <f ca="1">IFERROR(__xludf.DUMMYFUNCTION("GOOGLETRANSLATE(B3450, ""bn"", ""en"")"),"Islam's sacred symbols are being targeted for desecration. It is essentially part of the growing hatred and hatred towards Muslims that Europe's hard right is fueling.")</f>
        <v>Islam's sacred symbols are being targeted for desecration. It is essentially part of the growing hatred and hatred towards Muslims that Europe's hard right is fueling.</v>
      </c>
      <c r="D3450" s="2"/>
      <c r="E3450" s="2"/>
      <c r="F3450" s="2"/>
      <c r="G3450" s="2"/>
      <c r="H3450" s="3"/>
      <c r="I3450" s="3"/>
      <c r="J3450" s="3"/>
      <c r="K3450" s="3"/>
      <c r="L3450" s="3"/>
      <c r="M3450" s="3"/>
      <c r="N3450" s="3"/>
      <c r="O3450" s="3"/>
      <c r="P3450" s="3"/>
      <c r="Q3450" s="3"/>
      <c r="R3450" s="3"/>
      <c r="S3450" s="3"/>
      <c r="T3450" s="3"/>
      <c r="U3450" s="3"/>
      <c r="V3450" s="3"/>
      <c r="W3450" s="3"/>
      <c r="X3450" s="3"/>
      <c r="Y3450" s="3"/>
      <c r="Z3450" s="3"/>
    </row>
    <row r="3451" spans="1:26" ht="15.6" x14ac:dyDescent="0.3">
      <c r="A3451" s="18" t="s">
        <v>8</v>
      </c>
      <c r="B3451" s="24" t="s">
        <v>3438</v>
      </c>
      <c r="C3451" s="2" t="str">
        <f ca="1">IFERROR(__xludf.DUMMYFUNCTION("GOOGLETRANSLATE(B3451, ""bn"", ""en"")"),"In Kurigram, a banner reading 'Foreign Religion Banned' was hung in front of a church, sparking chaos.")</f>
        <v>In Kurigram, a banner reading 'Foreign Religion Banned' was hung in front of a church, sparking chaos.</v>
      </c>
      <c r="D3451" s="5"/>
      <c r="E3451" s="5"/>
      <c r="F3451" s="5"/>
      <c r="G3451" s="5"/>
      <c r="H3451" s="5"/>
      <c r="I3451" s="5"/>
      <c r="J3451" s="5"/>
      <c r="K3451" s="5"/>
      <c r="L3451" s="5"/>
      <c r="M3451" s="5"/>
      <c r="N3451" s="5"/>
      <c r="O3451" s="5"/>
      <c r="P3451" s="5"/>
      <c r="Q3451" s="5"/>
      <c r="R3451" s="5"/>
      <c r="S3451" s="5"/>
      <c r="T3451" s="5"/>
      <c r="U3451" s="5"/>
      <c r="V3451" s="5"/>
      <c r="W3451" s="5"/>
      <c r="X3451" s="5"/>
      <c r="Y3451" s="5"/>
      <c r="Z3451" s="5"/>
    </row>
    <row r="3452" spans="1:26" ht="15.6" x14ac:dyDescent="0.3">
      <c r="A3452" s="18" t="s">
        <v>5</v>
      </c>
      <c r="B3452" s="24" t="s">
        <v>3439</v>
      </c>
      <c r="C3452" s="2" t="str">
        <f ca="1">IFERROR(__xludf.DUMMYFUNCTION("GOOGLETRANSLATE(B3452, ""bn"", ""en"")"),"In June 2020, a Christian missionary school was bombed by religious hatred, killing 37 children.")</f>
        <v>In June 2020, a Christian missionary school was bombed by religious hatred, killing 37 children.</v>
      </c>
      <c r="D3452" s="5"/>
      <c r="E3452" s="5"/>
      <c r="F3452" s="5"/>
      <c r="G3452" s="5"/>
      <c r="H3452" s="5"/>
      <c r="I3452" s="5"/>
      <c r="J3452" s="5"/>
      <c r="K3452" s="5"/>
      <c r="L3452" s="5"/>
      <c r="M3452" s="5"/>
      <c r="N3452" s="5"/>
      <c r="O3452" s="5"/>
      <c r="P3452" s="5"/>
      <c r="Q3452" s="5"/>
      <c r="R3452" s="5"/>
      <c r="S3452" s="5"/>
      <c r="T3452" s="5"/>
      <c r="U3452" s="5"/>
      <c r="V3452" s="5"/>
      <c r="W3452" s="5"/>
      <c r="X3452" s="5"/>
      <c r="Y3452" s="5"/>
      <c r="Z3452" s="5"/>
    </row>
    <row r="3453" spans="1:26" ht="15.6" x14ac:dyDescent="0.3">
      <c r="A3453" s="19" t="s">
        <v>23</v>
      </c>
      <c r="B3453" s="26" t="s">
        <v>3440</v>
      </c>
      <c r="C3453" s="2" t="str">
        <f ca="1">IFERROR(__xludf.DUMMYFUNCTION("GOOGLETRANSLATE(B3453, ""bn"", ""en"")"),"Taskin's wife's burqa was defiled. Then these opportunists did not protest but instead went along with their attacks.")</f>
        <v>Taskin's wife's burqa was defiled. Then these opportunists did not protest but instead went along with their attacks.</v>
      </c>
      <c r="D3453" s="5"/>
      <c r="E3453" s="5"/>
      <c r="F3453" s="5"/>
      <c r="G3453" s="5"/>
      <c r="H3453" s="5"/>
      <c r="I3453" s="5"/>
      <c r="J3453" s="5"/>
      <c r="K3453" s="5"/>
      <c r="L3453" s="5"/>
      <c r="M3453" s="5"/>
      <c r="N3453" s="5"/>
      <c r="O3453" s="5"/>
      <c r="P3453" s="5"/>
      <c r="Q3453" s="5"/>
      <c r="R3453" s="5"/>
      <c r="S3453" s="5"/>
      <c r="T3453" s="5"/>
      <c r="U3453" s="5"/>
      <c r="V3453" s="5"/>
      <c r="W3453" s="5"/>
      <c r="X3453" s="5"/>
      <c r="Y3453" s="5"/>
      <c r="Z3453" s="5"/>
    </row>
    <row r="3454" spans="1:26" ht="15.6" x14ac:dyDescent="0.3">
      <c r="A3454" s="18" t="s">
        <v>3</v>
      </c>
      <c r="B3454" s="25" t="s">
        <v>3441</v>
      </c>
      <c r="C3454" s="2" t="str">
        <f ca="1">IFERROR(__xludf.DUMMYFUNCTION("GOOGLETRANSLATE(B3454, ""bn"", ""en"")"),"After the witness of his wife Sneha, the charges brought against the neo-Muslim brother were proved false in the court. Therefore, he should be released voluntarily. But the court still detained him and his bail hearing was today but again the court denie"&amp;"d him bail.")</f>
        <v>After the witness of his wife Sneha, the charges brought against the neo-Muslim brother were proved false in the court. Therefore, he should be released voluntarily. But the court still detained him and his bail hearing was today but again the court denied him bail.</v>
      </c>
      <c r="D3454" s="5"/>
      <c r="E3454" s="5"/>
      <c r="F3454" s="5"/>
      <c r="G3454" s="5"/>
      <c r="H3454" s="5"/>
      <c r="I3454" s="5"/>
      <c r="J3454" s="5"/>
      <c r="K3454" s="5"/>
      <c r="L3454" s="5"/>
      <c r="M3454" s="5"/>
      <c r="N3454" s="5"/>
      <c r="O3454" s="5"/>
      <c r="P3454" s="5"/>
      <c r="Q3454" s="5"/>
      <c r="R3454" s="5"/>
      <c r="S3454" s="5"/>
      <c r="T3454" s="5"/>
      <c r="U3454" s="5"/>
      <c r="V3454" s="5"/>
      <c r="W3454" s="5"/>
      <c r="X3454" s="5"/>
      <c r="Y3454" s="5"/>
      <c r="Z3454" s="5"/>
    </row>
    <row r="3455" spans="1:26" ht="15.6" x14ac:dyDescent="0.3">
      <c r="A3455" s="18" t="s">
        <v>5</v>
      </c>
      <c r="B3455" s="25" t="s">
        <v>3442</v>
      </c>
      <c r="C3455" s="2" t="str">
        <f ca="1">IFERROR(__xludf.DUMMYFUNCTION("GOOGLETRANSLATE(B3455, ""bn"", ""en"")"),"The soldiers opened fire on the captured Hindus, killing 63 instantly. The Razakars then ransacked the village and a woman was taken prisoner in the house of Abdul Ahad Chowdhury.")</f>
        <v>The soldiers opened fire on the captured Hindus, killing 63 instantly. The Razakars then ransacked the village and a woman was taken prisoner in the house of Abdul Ahad Chowdhury.</v>
      </c>
      <c r="D3455" s="2"/>
      <c r="E3455" s="2"/>
      <c r="F3455" s="2"/>
      <c r="G3455" s="2"/>
      <c r="H3455" s="5"/>
      <c r="I3455" s="5"/>
      <c r="J3455" s="5"/>
      <c r="K3455" s="5"/>
      <c r="L3455" s="5"/>
      <c r="M3455" s="5"/>
      <c r="N3455" s="5"/>
      <c r="O3455" s="5"/>
      <c r="P3455" s="5"/>
      <c r="Q3455" s="5"/>
      <c r="R3455" s="5"/>
      <c r="S3455" s="5"/>
      <c r="T3455" s="5"/>
      <c r="U3455" s="5"/>
      <c r="V3455" s="5"/>
      <c r="W3455" s="5"/>
      <c r="X3455" s="5"/>
      <c r="Y3455" s="5"/>
      <c r="Z3455" s="5"/>
    </row>
    <row r="3456" spans="1:26" ht="15.6" x14ac:dyDescent="0.3">
      <c r="A3456" s="18" t="s">
        <v>3</v>
      </c>
      <c r="B3456" s="25" t="s">
        <v>3443</v>
      </c>
      <c r="C3456" s="2" t="str">
        <f ca="1">IFERROR(__xludf.DUMMYFUNCTION("GOOGLETRANSLATE(B3456, ""bn"", ""en"")"),"Sanatan Dharma does not belittle anyone. I am proud to be a Hindu because no one needs to be challenged to prove Hinduism.")</f>
        <v>Sanatan Dharma does not belittle anyone. I am proud to be a Hindu because no one needs to be challenged to prove Hinduism.</v>
      </c>
      <c r="D3456" s="2"/>
      <c r="E3456" s="2"/>
      <c r="F3456" s="2"/>
      <c r="G3456" s="2"/>
      <c r="H3456" s="3"/>
      <c r="I3456" s="3"/>
      <c r="J3456" s="3"/>
      <c r="K3456" s="3"/>
      <c r="L3456" s="3"/>
      <c r="M3456" s="3"/>
      <c r="N3456" s="3"/>
      <c r="O3456" s="3"/>
      <c r="P3456" s="3"/>
      <c r="Q3456" s="3"/>
      <c r="R3456" s="3"/>
      <c r="S3456" s="3"/>
      <c r="T3456" s="3"/>
      <c r="U3456" s="3"/>
      <c r="V3456" s="3"/>
      <c r="W3456" s="3"/>
      <c r="X3456" s="3"/>
      <c r="Y3456" s="3"/>
      <c r="Z3456" s="3"/>
    </row>
    <row r="3457" spans="1:26" ht="15.6" x14ac:dyDescent="0.3">
      <c r="A3457" s="18" t="s">
        <v>3</v>
      </c>
      <c r="B3457" s="24" t="s">
        <v>3444</v>
      </c>
      <c r="C3457" s="2" t="str">
        <f ca="1">IFERROR(__xludf.DUMMYFUNCTION("GOOGLETRANSLATE(B3457, ""bn"", ""en"")"),"Neighbor's right is given much importance in Islam. It has been said, 'He who hurts his neighbor is not of my Ummah.'")</f>
        <v>Neighbor's right is given much importance in Islam. It has been said, 'He who hurts his neighbor is not of my Ummah.'</v>
      </c>
      <c r="D3457" s="5"/>
      <c r="E3457" s="5"/>
      <c r="F3457" s="5"/>
      <c r="G3457" s="5"/>
      <c r="H3457" s="5"/>
      <c r="I3457" s="5"/>
      <c r="J3457" s="5"/>
      <c r="K3457" s="5"/>
      <c r="L3457" s="5"/>
      <c r="M3457" s="5"/>
      <c r="N3457" s="5"/>
      <c r="O3457" s="5"/>
      <c r="P3457" s="5"/>
      <c r="Q3457" s="5"/>
      <c r="R3457" s="5"/>
      <c r="S3457" s="5"/>
      <c r="T3457" s="5"/>
      <c r="U3457" s="5"/>
      <c r="V3457" s="5"/>
      <c r="W3457" s="5"/>
      <c r="X3457" s="5"/>
      <c r="Y3457" s="5"/>
      <c r="Z3457" s="5"/>
    </row>
    <row r="3458" spans="1:26" ht="15.6" x14ac:dyDescent="0.3">
      <c r="A3458" s="19" t="s">
        <v>3</v>
      </c>
      <c r="B3458" s="26" t="s">
        <v>3445</v>
      </c>
      <c r="C3458" s="2" t="str">
        <f ca="1">IFERROR(__xludf.DUMMYFUNCTION("GOOGLETRANSLATE(B3458, ""bn"", ""en"")"),"Three-quarters of the world's countries have low to moderate restrictions on religious freedom, with a quarter having high and very high restrictions, according to the State Department's annual report to Congress on Religious Freedom and Persecution.")</f>
        <v>Three-quarters of the world's countries have low to moderate restrictions on religious freedom, with a quarter having high and very high restrictions, according to the State Department's annual report to Congress on Religious Freedom and Persecution.</v>
      </c>
      <c r="D3458" s="7"/>
      <c r="E3458" s="5"/>
      <c r="F3458" s="5"/>
      <c r="G3458" s="5"/>
      <c r="H3458" s="5"/>
      <c r="I3458" s="5"/>
      <c r="J3458" s="5"/>
      <c r="K3458" s="5"/>
      <c r="L3458" s="5"/>
      <c r="M3458" s="5"/>
      <c r="N3458" s="5"/>
      <c r="O3458" s="5"/>
      <c r="P3458" s="5"/>
      <c r="Q3458" s="5"/>
      <c r="R3458" s="5"/>
      <c r="S3458" s="5"/>
      <c r="T3458" s="5"/>
      <c r="U3458" s="5"/>
      <c r="V3458" s="5"/>
      <c r="W3458" s="5"/>
      <c r="X3458" s="5"/>
      <c r="Y3458" s="5"/>
      <c r="Z3458" s="5"/>
    </row>
    <row r="3459" spans="1:26" ht="15.6" x14ac:dyDescent="0.3">
      <c r="A3459" s="18" t="s">
        <v>8</v>
      </c>
      <c r="B3459" s="25" t="s">
        <v>3446</v>
      </c>
      <c r="C3459" s="2" t="str">
        <f ca="1">IFERROR(__xludf.DUMMYFUNCTION("GOOGLETRANSLATE(B3459, ""bn"", ""en"")"),"On November 4 Hindus in Nasirnagar were again attacked. Harsh comments about Hindus by the local MP and the then Fisheries and Water Resources Minister Mohammad Chhayedul Haque are also responsible for this. [9] Awami League leaders have instigated this i"&amp;"ncident. The 'mastermind' was Awami League's Haripur Union Chairman Dewan Atiqur Rahman Ankhi.")</f>
        <v>On November 4 Hindus in Nasirnagar were again attacked. Harsh comments about Hindus by the local MP and the then Fisheries and Water Resources Minister Mohammad Chhayedul Haque are also responsible for this. [9] Awami League leaders have instigated this incident. The 'mastermind' was Awami League's Haripur Union Chairman Dewan Atiqur Rahman Ankhi.</v>
      </c>
      <c r="D3459" s="2"/>
      <c r="E3459" s="2"/>
      <c r="F3459" s="2"/>
      <c r="G3459" s="2"/>
      <c r="H3459" s="3"/>
      <c r="I3459" s="3"/>
      <c r="J3459" s="3"/>
      <c r="K3459" s="3"/>
      <c r="L3459" s="3"/>
      <c r="M3459" s="3"/>
      <c r="N3459" s="3"/>
      <c r="O3459" s="3"/>
      <c r="P3459" s="3"/>
      <c r="Q3459" s="3"/>
      <c r="R3459" s="3"/>
      <c r="S3459" s="3"/>
      <c r="T3459" s="3"/>
      <c r="U3459" s="3"/>
      <c r="V3459" s="3"/>
      <c r="W3459" s="3"/>
      <c r="X3459" s="3"/>
      <c r="Y3459" s="3"/>
      <c r="Z3459" s="3"/>
    </row>
    <row r="3460" spans="1:26" ht="15.6" x14ac:dyDescent="0.3">
      <c r="A3460" s="18" t="s">
        <v>8</v>
      </c>
      <c r="B3460" s="25" t="s">
        <v>3447</v>
      </c>
      <c r="C3460" s="2" t="str">
        <f ca="1">IFERROR(__xludf.DUMMYFUNCTION("GOOGLETRANSLATE(B3460, ""bn"", ""en"")"),"People from both Hindu and Muslim communities stand side by side to protest the attack on the Hindu community in Bangladesh.")</f>
        <v>People from both Hindu and Muslim communities stand side by side to protest the attack on the Hindu community in Bangladesh.</v>
      </c>
      <c r="D3460" s="2"/>
      <c r="E3460" s="2"/>
      <c r="F3460" s="2"/>
      <c r="G3460" s="2"/>
      <c r="H3460" s="5"/>
      <c r="I3460" s="5"/>
      <c r="J3460" s="5"/>
      <c r="K3460" s="5"/>
      <c r="L3460" s="5"/>
      <c r="M3460" s="5"/>
      <c r="N3460" s="5"/>
      <c r="O3460" s="5"/>
      <c r="P3460" s="5"/>
      <c r="Q3460" s="5"/>
      <c r="R3460" s="5"/>
      <c r="S3460" s="5"/>
      <c r="T3460" s="5"/>
      <c r="U3460" s="5"/>
      <c r="V3460" s="5"/>
      <c r="W3460" s="5"/>
      <c r="X3460" s="5"/>
      <c r="Y3460" s="5"/>
      <c r="Z3460" s="5"/>
    </row>
    <row r="3461" spans="1:26" ht="15.6" x14ac:dyDescent="0.3">
      <c r="A3461" s="18" t="s">
        <v>23</v>
      </c>
      <c r="B3461" s="25" t="s">
        <v>3448</v>
      </c>
      <c r="C3461" s="2" t="str">
        <f ca="1">IFERROR(__xludf.DUMMYFUNCTION("GOOGLETRANSLATE(B3461, ""bn"", ""en"")"),"The names of the comments seem to be Muslim! There was a time when one could distinguish a Muslim or a non-Muslim just by looking at the name, now there is no way to know it by looking at the name. Looking at their comments, it seems that it is better to "&amp;"put Sri next to the name.")</f>
        <v>The names of the comments seem to be Muslim! There was a time when one could distinguish a Muslim or a non-Muslim just by looking at the name, now there is no way to know it by looking at the name. Looking at their comments, it seems that it is better to put Sri next to the name.</v>
      </c>
      <c r="D3461" s="6"/>
      <c r="E3461" s="6"/>
      <c r="F3461" s="6"/>
      <c r="G3461" s="6"/>
      <c r="H3461" s="3"/>
      <c r="I3461" s="3"/>
      <c r="J3461" s="3"/>
      <c r="K3461" s="3"/>
      <c r="L3461" s="3"/>
      <c r="M3461" s="3"/>
      <c r="N3461" s="3"/>
      <c r="O3461" s="3"/>
      <c r="P3461" s="3"/>
      <c r="Q3461" s="3"/>
      <c r="R3461" s="3"/>
      <c r="S3461" s="3"/>
      <c r="T3461" s="3"/>
      <c r="U3461" s="3"/>
      <c r="V3461" s="3"/>
      <c r="W3461" s="3"/>
      <c r="X3461" s="3"/>
      <c r="Y3461" s="3"/>
      <c r="Z3461" s="3"/>
    </row>
    <row r="3462" spans="1:26" ht="15.6" x14ac:dyDescent="0.3">
      <c r="A3462" s="18" t="s">
        <v>23</v>
      </c>
      <c r="B3462" s="25" t="s">
        <v>3449</v>
      </c>
      <c r="C3462" s="2" t="str">
        <f ca="1">IFERROR(__xludf.DUMMYFUNCTION("GOOGLETRANSLATE(B3462, ""bn"", ""en"")"),"It is up to him whether he will practice religion or not. Why pressure brother to accept religion. You don't practice religion. You forbid everything for the sake of religion, and force others to accept Islam. It's not hypocrisy, so what?")</f>
        <v>It is up to him whether he will practice religion or not. Why pressure brother to accept religion. You don't practice religion. You forbid everything for the sake of religion, and force others to accept Islam. It's not hypocrisy, so what?</v>
      </c>
      <c r="D3462" s="5"/>
      <c r="E3462" s="5"/>
      <c r="F3462" s="5"/>
      <c r="G3462" s="5"/>
      <c r="H3462" s="5"/>
      <c r="I3462" s="5"/>
      <c r="J3462" s="5"/>
      <c r="K3462" s="5"/>
      <c r="L3462" s="5"/>
      <c r="M3462" s="5"/>
      <c r="N3462" s="5"/>
      <c r="O3462" s="5"/>
      <c r="P3462" s="5"/>
      <c r="Q3462" s="5"/>
      <c r="R3462" s="5"/>
      <c r="S3462" s="5"/>
      <c r="T3462" s="5"/>
      <c r="U3462" s="5"/>
      <c r="V3462" s="5"/>
      <c r="W3462" s="5"/>
      <c r="X3462" s="5"/>
      <c r="Y3462" s="5"/>
      <c r="Z3462" s="5"/>
    </row>
    <row r="3463" spans="1:26" ht="15.6" x14ac:dyDescent="0.3">
      <c r="A3463" s="18" t="s">
        <v>3</v>
      </c>
      <c r="B3463" s="25" t="s">
        <v>3450</v>
      </c>
      <c r="C3463" s="2" t="str">
        <f ca="1">IFERROR(__xludf.DUMMYFUNCTION("GOOGLETRANSLATE(B3463, ""bn"", ""en"")"),"Pooja does not involve political activity, but iftar parties do. So there is no need to create a communal clash over it from a religious point of view.")</f>
        <v>Pooja does not involve political activity, but iftar parties do. So there is no need to create a communal clash over it from a religious point of view.</v>
      </c>
      <c r="D3463" s="5"/>
      <c r="E3463" s="5"/>
      <c r="F3463" s="5"/>
      <c r="G3463" s="5"/>
      <c r="H3463" s="5"/>
      <c r="I3463" s="5"/>
      <c r="J3463" s="5"/>
      <c r="K3463" s="5"/>
      <c r="L3463" s="5"/>
      <c r="M3463" s="5"/>
      <c r="N3463" s="5"/>
      <c r="O3463" s="5"/>
      <c r="P3463" s="5"/>
      <c r="Q3463" s="5"/>
      <c r="R3463" s="5"/>
      <c r="S3463" s="5"/>
      <c r="T3463" s="5"/>
      <c r="U3463" s="5"/>
      <c r="V3463" s="5"/>
      <c r="W3463" s="5"/>
      <c r="X3463" s="5"/>
      <c r="Y3463" s="5"/>
      <c r="Z3463" s="5"/>
    </row>
    <row r="3464" spans="1:26" ht="15.6" x14ac:dyDescent="0.3">
      <c r="A3464" s="18" t="s">
        <v>8</v>
      </c>
      <c r="B3464" s="24" t="s">
        <v>3451</v>
      </c>
      <c r="C3464" s="2" t="str">
        <f ca="1">IFERROR(__xludf.DUMMYFUNCTION("GOOGLETRANSLATE(B3464, ""bn"", ""en"")"),"A group of youths vandalized the Shiv Mandir in Sanatan Dharmalambi village of Narsingdi and broke three idols including Shiva Linga.")</f>
        <v>A group of youths vandalized the Shiv Mandir in Sanatan Dharmalambi village of Narsingdi and broke three idols including Shiva Linga.</v>
      </c>
      <c r="D3464" s="5"/>
      <c r="E3464" s="5"/>
      <c r="F3464" s="5"/>
      <c r="G3464" s="5"/>
      <c r="H3464" s="5"/>
      <c r="I3464" s="5"/>
      <c r="J3464" s="5"/>
      <c r="K3464" s="5"/>
      <c r="L3464" s="5"/>
      <c r="M3464" s="5"/>
      <c r="N3464" s="5"/>
      <c r="O3464" s="5"/>
      <c r="P3464" s="5"/>
      <c r="Q3464" s="5"/>
      <c r="R3464" s="5"/>
      <c r="S3464" s="5"/>
      <c r="T3464" s="5"/>
      <c r="U3464" s="5"/>
      <c r="V3464" s="5"/>
      <c r="W3464" s="5"/>
      <c r="X3464" s="5"/>
      <c r="Y3464" s="5"/>
      <c r="Z3464" s="5"/>
    </row>
    <row r="3465" spans="1:26" ht="15.6" x14ac:dyDescent="0.3">
      <c r="A3465" s="19" t="s">
        <v>5</v>
      </c>
      <c r="B3465" s="26" t="s">
        <v>3452</v>
      </c>
      <c r="C3465" s="2" t="str">
        <f ca="1">IFERROR(__xludf.DUMMYFUNCTION("GOOGLETRANSLATE(B3465, ""bn"", ""en"")"),"Pierre Delaney noted that at least 2,000 Hindus were brutally murdered on the day of the incident and that Hindu passengers were killed at a railway station.")</f>
        <v>Pierre Delaney noted that at least 2,000 Hindus were brutally murdered on the day of the incident and that Hindu passengers were killed at a railway station.</v>
      </c>
      <c r="D3465" s="7"/>
      <c r="E3465" s="7"/>
      <c r="F3465" s="7"/>
      <c r="G3465" s="7"/>
      <c r="H3465" s="7"/>
      <c r="I3465" s="7"/>
      <c r="J3465" s="7"/>
      <c r="K3465" s="7"/>
      <c r="L3465" s="5"/>
      <c r="M3465" s="5"/>
      <c r="N3465" s="5"/>
      <c r="O3465" s="5"/>
      <c r="P3465" s="5"/>
      <c r="Q3465" s="5"/>
      <c r="R3465" s="5"/>
      <c r="S3465" s="5"/>
      <c r="T3465" s="5"/>
      <c r="U3465" s="5"/>
      <c r="V3465" s="5"/>
      <c r="W3465" s="5"/>
      <c r="X3465" s="5"/>
      <c r="Y3465" s="5"/>
      <c r="Z3465" s="5"/>
    </row>
    <row r="3466" spans="1:26" ht="15.6" x14ac:dyDescent="0.3">
      <c r="A3466" s="19" t="s">
        <v>8</v>
      </c>
      <c r="B3466" s="26" t="s">
        <v>3453</v>
      </c>
      <c r="C3466" s="2" t="str">
        <f ca="1">IFERROR(__xludf.DUMMYFUNCTION("GOOGLETRANSLATE(B3466, ""bn"", ""en"")"),"On March 5 and 7, several Hindu temples were vandalized and set on fire in Lalmonirhat.")</f>
        <v>On March 5 and 7, several Hindu temples were vandalized and set on fire in Lalmonirhat.</v>
      </c>
      <c r="D3466" s="7"/>
      <c r="E3466" s="5"/>
      <c r="F3466" s="5"/>
      <c r="G3466" s="5"/>
      <c r="H3466" s="5"/>
      <c r="I3466" s="5"/>
      <c r="J3466" s="5"/>
      <c r="K3466" s="5"/>
      <c r="L3466" s="5"/>
      <c r="M3466" s="5"/>
      <c r="N3466" s="5"/>
      <c r="O3466" s="5"/>
      <c r="P3466" s="5"/>
      <c r="Q3466" s="5"/>
      <c r="R3466" s="5"/>
      <c r="S3466" s="5"/>
      <c r="T3466" s="5"/>
      <c r="U3466" s="5"/>
      <c r="V3466" s="5"/>
      <c r="W3466" s="5"/>
      <c r="X3466" s="5"/>
      <c r="Y3466" s="5"/>
      <c r="Z3466" s="5"/>
    </row>
    <row r="3467" spans="1:26" ht="15.6" x14ac:dyDescent="0.3">
      <c r="A3467" s="19" t="s">
        <v>23</v>
      </c>
      <c r="B3467" s="26" t="s">
        <v>3454</v>
      </c>
      <c r="C3467" s="2" t="str">
        <f ca="1">IFERROR(__xludf.DUMMYFUNCTION("GOOGLETRANSLATE(B3467, ""bn"", ""en"")"),"Chandni Chowk Bazaar on Dharmatala Street has been ransacked by Muslims.")</f>
        <v>Chandni Chowk Bazaar on Dharmatala Street has been ransacked by Muslims.</v>
      </c>
      <c r="D3467" s="5"/>
      <c r="E3467" s="5"/>
      <c r="F3467" s="5"/>
      <c r="G3467" s="5"/>
      <c r="H3467" s="5"/>
      <c r="I3467" s="5"/>
      <c r="J3467" s="5"/>
      <c r="K3467" s="5"/>
      <c r="L3467" s="5"/>
      <c r="M3467" s="5"/>
      <c r="N3467" s="5"/>
      <c r="O3467" s="5"/>
      <c r="P3467" s="5"/>
      <c r="Q3467" s="5"/>
      <c r="R3467" s="5"/>
      <c r="S3467" s="5"/>
      <c r="T3467" s="5"/>
      <c r="U3467" s="5"/>
      <c r="V3467" s="5"/>
      <c r="W3467" s="5"/>
      <c r="X3467" s="5"/>
      <c r="Y3467" s="5"/>
      <c r="Z3467" s="5"/>
    </row>
    <row r="3468" spans="1:26" ht="15.6" x14ac:dyDescent="0.3">
      <c r="A3468" s="18" t="s">
        <v>3</v>
      </c>
      <c r="B3468" s="24" t="s">
        <v>3455</v>
      </c>
      <c r="C3468" s="2" t="str">
        <f ca="1">IFERROR(__xludf.DUMMYFUNCTION("GOOGLETRANSLATE(B3468, ""bn"", ""en"")"),"Sikhism emphasizes equal dignity and service to all people. 'Seva' is an important religious principle.")</f>
        <v>Sikhism emphasizes equal dignity and service to all people. 'Seva' is an important religious principle.</v>
      </c>
      <c r="D3468" s="5"/>
      <c r="E3468" s="5"/>
      <c r="F3468" s="5"/>
      <c r="G3468" s="5"/>
      <c r="H3468" s="5"/>
      <c r="I3468" s="5"/>
      <c r="J3468" s="5"/>
      <c r="K3468" s="5"/>
      <c r="L3468" s="5"/>
      <c r="M3468" s="5"/>
      <c r="N3468" s="5"/>
      <c r="O3468" s="5"/>
      <c r="P3468" s="5"/>
      <c r="Q3468" s="5"/>
      <c r="R3468" s="5"/>
      <c r="S3468" s="5"/>
      <c r="T3468" s="5"/>
      <c r="U3468" s="5"/>
      <c r="V3468" s="5"/>
      <c r="W3468" s="5"/>
      <c r="X3468" s="5"/>
      <c r="Y3468" s="5"/>
      <c r="Z3468" s="5"/>
    </row>
    <row r="3469" spans="1:26" ht="15.6" x14ac:dyDescent="0.3">
      <c r="A3469" s="19" t="s">
        <v>3</v>
      </c>
      <c r="B3469" s="26" t="s">
        <v>3456</v>
      </c>
      <c r="C3469" s="2" t="str">
        <f ca="1">IFERROR(__xludf.DUMMYFUNCTION("GOOGLETRANSLATE(B3469, ""bn"", ""en"")"),"Followers of Christianity believe that in order to establish peace and love in the world, we must have compassion, empathy and goodwill among ourselves, and never commit any form of aggression or violence in the name of our religion.")</f>
        <v>Followers of Christianity believe that in order to establish peace and love in the world, we must have compassion, empathy and goodwill among ourselves, and never commit any form of aggression or violence in the name of our religion.</v>
      </c>
      <c r="D3469" s="7"/>
      <c r="E3469" s="5"/>
      <c r="F3469" s="5"/>
      <c r="G3469" s="5"/>
      <c r="H3469" s="5"/>
      <c r="I3469" s="5"/>
      <c r="J3469" s="5"/>
      <c r="K3469" s="5"/>
      <c r="L3469" s="5"/>
      <c r="M3469" s="5"/>
      <c r="N3469" s="5"/>
      <c r="O3469" s="5"/>
      <c r="P3469" s="5"/>
      <c r="Q3469" s="5"/>
      <c r="R3469" s="5"/>
      <c r="S3469" s="5"/>
      <c r="T3469" s="5"/>
      <c r="U3469" s="5"/>
      <c r="V3469" s="5"/>
      <c r="W3469" s="5"/>
      <c r="X3469" s="5"/>
      <c r="Y3469" s="5"/>
      <c r="Z3469" s="5"/>
    </row>
    <row r="3470" spans="1:26" ht="15.6" x14ac:dyDescent="0.3">
      <c r="A3470" s="18" t="s">
        <v>23</v>
      </c>
      <c r="B3470" s="25" t="s">
        <v>3457</v>
      </c>
      <c r="C3470" s="2" t="str">
        <f ca="1">IFERROR(__xludf.DUMMYFUNCTION("GOOGLETRANSLATE(B3470, ""bn"", ""en"")"),"The government of this country under the leadership of Ayub Khan planned ethnic cleansing on Bengali Hindus and other minority communities from the beginning.")</f>
        <v>The government of this country under the leadership of Ayub Khan planned ethnic cleansing on Bengali Hindus and other minority communities from the beginning.</v>
      </c>
      <c r="D3470" s="2"/>
      <c r="E3470" s="2"/>
      <c r="F3470" s="2"/>
      <c r="G3470" s="2"/>
      <c r="H3470" s="3"/>
      <c r="I3470" s="3"/>
      <c r="J3470" s="3"/>
      <c r="K3470" s="3"/>
      <c r="L3470" s="3"/>
      <c r="M3470" s="3"/>
      <c r="N3470" s="3"/>
      <c r="O3470" s="3"/>
      <c r="P3470" s="3"/>
      <c r="Q3470" s="3"/>
      <c r="R3470" s="3"/>
      <c r="S3470" s="3"/>
      <c r="T3470" s="3"/>
      <c r="U3470" s="3"/>
      <c r="V3470" s="3"/>
      <c r="W3470" s="3"/>
      <c r="X3470" s="3"/>
      <c r="Y3470" s="3"/>
      <c r="Z3470" s="3"/>
    </row>
    <row r="3471" spans="1:26" ht="15.6" x14ac:dyDescent="0.3">
      <c r="A3471" s="19" t="s">
        <v>23</v>
      </c>
      <c r="B3471" s="26" t="s">
        <v>3458</v>
      </c>
      <c r="C3471" s="2" t="str">
        <f ca="1">IFERROR(__xludf.DUMMYFUNCTION("GOOGLETRANSLATE(B3471, ""bn"", ""en"")"),"Allah does not spare the wrongdoers, He will judge them. May Allah guide them.")</f>
        <v>Allah does not spare the wrongdoers, He will judge them. May Allah guide them.</v>
      </c>
      <c r="D3471" s="7"/>
      <c r="E3471" s="7"/>
      <c r="F3471" s="5"/>
      <c r="G3471" s="5"/>
      <c r="H3471" s="5"/>
      <c r="I3471" s="5"/>
      <c r="J3471" s="5"/>
      <c r="K3471" s="5"/>
      <c r="L3471" s="5"/>
      <c r="M3471" s="5"/>
      <c r="N3471" s="5"/>
      <c r="O3471" s="5"/>
      <c r="P3471" s="5"/>
      <c r="Q3471" s="5"/>
      <c r="R3471" s="5"/>
      <c r="S3471" s="5"/>
      <c r="T3471" s="5"/>
      <c r="U3471" s="5"/>
      <c r="V3471" s="5"/>
      <c r="W3471" s="5"/>
      <c r="X3471" s="5"/>
      <c r="Y3471" s="5"/>
      <c r="Z3471" s="5"/>
    </row>
    <row r="3472" spans="1:26" ht="15.6" x14ac:dyDescent="0.3">
      <c r="A3472" s="18" t="s">
        <v>3</v>
      </c>
      <c r="B3472" s="25" t="s">
        <v>3459</v>
      </c>
      <c r="C3472" s="2" t="str">
        <f ca="1">IFERROR(__xludf.DUMMYFUNCTION("GOOGLETRANSLATE(B3472, ""bn"", ""en"")"),"In addition to pioneering efforts, it is the duty of the Muslim Ummah to protect this precious resource with its life, to establish a relationship with the Qur'an.")</f>
        <v>In addition to pioneering efforts, it is the duty of the Muslim Ummah to protect this precious resource with its life, to establish a relationship with the Qur'an.</v>
      </c>
      <c r="D3472" s="2"/>
      <c r="E3472" s="2"/>
      <c r="F3472" s="2"/>
      <c r="G3472" s="2"/>
      <c r="H3472" s="3"/>
      <c r="I3472" s="3"/>
      <c r="J3472" s="3"/>
      <c r="K3472" s="3"/>
      <c r="L3472" s="3"/>
      <c r="M3472" s="3"/>
      <c r="N3472" s="3"/>
      <c r="O3472" s="3"/>
      <c r="P3472" s="3"/>
      <c r="Q3472" s="3"/>
      <c r="R3472" s="3"/>
      <c r="S3472" s="3"/>
      <c r="T3472" s="3"/>
      <c r="U3472" s="3"/>
      <c r="V3472" s="3"/>
      <c r="W3472" s="3"/>
      <c r="X3472" s="3"/>
      <c r="Y3472" s="3"/>
      <c r="Z3472" s="3"/>
    </row>
    <row r="3473" spans="1:26" ht="15.6" x14ac:dyDescent="0.3">
      <c r="A3473" s="18" t="s">
        <v>3</v>
      </c>
      <c r="B3473" s="25" t="s">
        <v>3460</v>
      </c>
      <c r="C3473" s="2" t="str">
        <f ca="1">IFERROR(__xludf.DUMMYFUNCTION("GOOGLETRANSLATE(B3473, ""bn"", ""en"")"),"Alhamdulillah a very wise discussion. This work of yours will play an important role throughout Ramadan")</f>
        <v>Alhamdulillah a very wise discussion. This work of yours will play an important role throughout Ramadan</v>
      </c>
      <c r="D3473" s="5"/>
      <c r="E3473" s="5"/>
      <c r="F3473" s="5"/>
      <c r="G3473" s="5"/>
      <c r="H3473" s="5"/>
      <c r="I3473" s="5"/>
      <c r="J3473" s="5"/>
      <c r="K3473" s="5"/>
      <c r="L3473" s="5"/>
      <c r="M3473" s="5"/>
      <c r="N3473" s="5"/>
      <c r="O3473" s="5"/>
      <c r="P3473" s="5"/>
      <c r="Q3473" s="5"/>
      <c r="R3473" s="5"/>
      <c r="S3473" s="5"/>
      <c r="T3473" s="5"/>
      <c r="U3473" s="5"/>
      <c r="V3473" s="5"/>
      <c r="W3473" s="5"/>
      <c r="X3473" s="5"/>
      <c r="Y3473" s="5"/>
      <c r="Z3473" s="5"/>
    </row>
    <row r="3474" spans="1:26" ht="15.6" x14ac:dyDescent="0.3">
      <c r="A3474" s="21" t="s">
        <v>5</v>
      </c>
      <c r="B3474" s="25" t="s">
        <v>3461</v>
      </c>
      <c r="C3474" s="2" t="str">
        <f ca="1">IFERROR(__xludf.DUMMYFUNCTION("GOOGLETRANSLATE(B3474, ""bn"", ""en"")"),"Serb forces launched an ethnic cleansing campaign against Muslims in Chittagong (1995).")</f>
        <v>Serb forces launched an ethnic cleansing campaign against Muslims in Chittagong (1995).</v>
      </c>
      <c r="D3474" s="2"/>
      <c r="E3474" s="2"/>
      <c r="F3474" s="2"/>
      <c r="G3474" s="2"/>
      <c r="H3474" s="3"/>
      <c r="I3474" s="3"/>
      <c r="J3474" s="3"/>
      <c r="K3474" s="3"/>
      <c r="L3474" s="3"/>
      <c r="M3474" s="3"/>
      <c r="N3474" s="3"/>
      <c r="O3474" s="3"/>
      <c r="P3474" s="3"/>
      <c r="Q3474" s="3"/>
      <c r="R3474" s="3"/>
      <c r="S3474" s="3"/>
      <c r="T3474" s="3"/>
      <c r="U3474" s="3"/>
      <c r="V3474" s="3"/>
      <c r="W3474" s="3"/>
      <c r="X3474" s="3"/>
      <c r="Y3474" s="3"/>
      <c r="Z3474" s="3"/>
    </row>
    <row r="3475" spans="1:26" ht="15.6" x14ac:dyDescent="0.3">
      <c r="A3475" s="18" t="s">
        <v>23</v>
      </c>
      <c r="B3475" s="24" t="s">
        <v>3462</v>
      </c>
      <c r="C3475" s="2" t="str">
        <f ca="1">IFERROR(__xludf.DUMMYFUNCTION("GOOGLETRANSLATE(B3475, ""bn"", ""en"")"),"Christians who interfere with other religions besides their own are not to be trusted.")</f>
        <v>Christians who interfere with other religions besides their own are not to be trusted.</v>
      </c>
      <c r="D3475" s="5"/>
      <c r="E3475" s="5"/>
      <c r="F3475" s="5"/>
      <c r="G3475" s="5"/>
      <c r="H3475" s="5"/>
      <c r="I3475" s="5"/>
      <c r="J3475" s="5"/>
      <c r="K3475" s="5"/>
      <c r="L3475" s="5"/>
      <c r="M3475" s="5"/>
      <c r="N3475" s="5"/>
      <c r="O3475" s="5"/>
      <c r="P3475" s="5"/>
      <c r="Q3475" s="5"/>
      <c r="R3475" s="5"/>
      <c r="S3475" s="5"/>
      <c r="T3475" s="5"/>
      <c r="U3475" s="5"/>
      <c r="V3475" s="5"/>
      <c r="W3475" s="5"/>
      <c r="X3475" s="5"/>
      <c r="Y3475" s="5"/>
      <c r="Z3475" s="5"/>
    </row>
    <row r="3476" spans="1:26" ht="15.6" x14ac:dyDescent="0.3">
      <c r="A3476" s="18" t="s">
        <v>23</v>
      </c>
      <c r="B3476" s="25" t="s">
        <v>3463</v>
      </c>
      <c r="C3476" s="2" t="str">
        <f ca="1">IFERROR(__xludf.DUMMYFUNCTION("GOOGLETRANSLATE(B3476, ""bn"", ""en"")"),"Anyway, all the atheists, liberals, Islam haters of Bangladesh are very satisfied after seeing this post.")</f>
        <v>Anyway, all the atheists, liberals, Islam haters of Bangladesh are very satisfied after seeing this post.</v>
      </c>
      <c r="D3476" s="7"/>
      <c r="E3476" s="7"/>
      <c r="F3476" s="5"/>
      <c r="G3476" s="5"/>
      <c r="H3476" s="5"/>
      <c r="I3476" s="5"/>
      <c r="J3476" s="5"/>
      <c r="K3476" s="5"/>
      <c r="L3476" s="5"/>
      <c r="M3476" s="5"/>
      <c r="N3476" s="5"/>
      <c r="O3476" s="5"/>
      <c r="P3476" s="5"/>
      <c r="Q3476" s="5"/>
      <c r="R3476" s="5"/>
      <c r="S3476" s="5"/>
      <c r="T3476" s="5"/>
      <c r="U3476" s="5"/>
      <c r="V3476" s="5"/>
      <c r="W3476" s="5"/>
      <c r="X3476" s="5"/>
      <c r="Y3476" s="5"/>
      <c r="Z3476" s="5"/>
    </row>
    <row r="3477" spans="1:26" ht="15.6" x14ac:dyDescent="0.3">
      <c r="A3477" s="19" t="s">
        <v>3</v>
      </c>
      <c r="B3477" s="26" t="s">
        <v>3464</v>
      </c>
      <c r="C3477" s="2" t="str">
        <f ca="1">IFERROR(__xludf.DUMMYFUNCTION("GOOGLETRANSLATE(B3477, ""bn"", ""en"")"),"Society accepts illicit relationships, while legitimate relationships end in suicide; This social system is reprehensible.")</f>
        <v>Society accepts illicit relationships, while legitimate relationships end in suicide; This social system is reprehensible.</v>
      </c>
      <c r="D3477" s="7"/>
      <c r="E3477" s="7"/>
      <c r="F3477" s="7"/>
      <c r="G3477" s="5"/>
      <c r="H3477" s="5"/>
      <c r="I3477" s="5"/>
      <c r="J3477" s="5"/>
      <c r="K3477" s="5"/>
      <c r="L3477" s="5"/>
      <c r="M3477" s="5"/>
      <c r="N3477" s="5"/>
      <c r="O3477" s="5"/>
      <c r="P3477" s="5"/>
      <c r="Q3477" s="5"/>
      <c r="R3477" s="5"/>
      <c r="S3477" s="5"/>
      <c r="T3477" s="5"/>
      <c r="U3477" s="5"/>
      <c r="V3477" s="5"/>
      <c r="W3477" s="5"/>
      <c r="X3477" s="5"/>
      <c r="Y3477" s="5"/>
      <c r="Z3477" s="5"/>
    </row>
    <row r="3478" spans="1:26" ht="15.6" x14ac:dyDescent="0.3">
      <c r="A3478" s="18" t="s">
        <v>23</v>
      </c>
      <c r="B3478" s="25" t="s">
        <v>3465</v>
      </c>
      <c r="C3478" s="2" t="str">
        <f ca="1">IFERROR(__xludf.DUMMYFUNCTION("GOOGLETRANSLATE(B3478, ""bn"", ""en"")"),"Samuel Paty, a history and geography teacher at a school on the outskirts of Paris, was under threat after showing cartoons of the Prophet of Islam to teach freedom of expression in class.")</f>
        <v>Samuel Paty, a history and geography teacher at a school on the outskirts of Paris, was under threat after showing cartoons of the Prophet of Islam to teach freedom of expression in class.</v>
      </c>
      <c r="D3478" s="5"/>
      <c r="E3478" s="5"/>
      <c r="F3478" s="5"/>
      <c r="G3478" s="5"/>
      <c r="H3478" s="5"/>
      <c r="I3478" s="5"/>
      <c r="J3478" s="5"/>
      <c r="K3478" s="5"/>
      <c r="L3478" s="5"/>
      <c r="M3478" s="5"/>
      <c r="N3478" s="5"/>
      <c r="O3478" s="5"/>
      <c r="P3478" s="5"/>
      <c r="Q3478" s="5"/>
      <c r="R3478" s="5"/>
      <c r="S3478" s="5"/>
      <c r="T3478" s="5"/>
      <c r="U3478" s="5"/>
      <c r="V3478" s="5"/>
      <c r="W3478" s="5"/>
      <c r="X3478" s="5"/>
      <c r="Y3478" s="5"/>
      <c r="Z3478" s="5"/>
    </row>
    <row r="3479" spans="1:26" ht="15.6" x14ac:dyDescent="0.3">
      <c r="A3479" s="18" t="s">
        <v>5</v>
      </c>
      <c r="B3479" s="25" t="s">
        <v>3466</v>
      </c>
      <c r="C3479" s="2" t="str">
        <f ca="1">IFERROR(__xludf.DUMMYFUNCTION("GOOGLETRANSLATE(B3479, ""bn"", ""en"")"),"A few weeks ago, tensions flared after a Buddhist youth was beaten to death by Muslims over a dispute over a car.")</f>
        <v>A few weeks ago, tensions flared after a Buddhist youth was beaten to death by Muslims over a dispute over a car.</v>
      </c>
      <c r="D3479" s="5"/>
      <c r="E3479" s="5"/>
      <c r="F3479" s="5"/>
      <c r="G3479" s="5"/>
      <c r="H3479" s="5"/>
      <c r="I3479" s="5"/>
      <c r="J3479" s="5"/>
      <c r="K3479" s="5"/>
      <c r="L3479" s="5"/>
      <c r="M3479" s="5"/>
      <c r="N3479" s="5"/>
      <c r="O3479" s="5"/>
      <c r="P3479" s="5"/>
      <c r="Q3479" s="5"/>
      <c r="R3479" s="5"/>
      <c r="S3479" s="5"/>
      <c r="T3479" s="5"/>
      <c r="U3479" s="5"/>
      <c r="V3479" s="5"/>
      <c r="W3479" s="5"/>
      <c r="X3479" s="5"/>
      <c r="Y3479" s="5"/>
      <c r="Z3479" s="5"/>
    </row>
    <row r="3480" spans="1:26" ht="15.6" x14ac:dyDescent="0.3">
      <c r="A3480" s="18" t="s">
        <v>3</v>
      </c>
      <c r="B3480" s="25" t="s">
        <v>3467</v>
      </c>
      <c r="C3480" s="2" t="str">
        <f ca="1">IFERROR(__xludf.DUMMYFUNCTION("GOOGLETRANSLATE(B3480, ""bn"", ""en"")"),"Once the majority of the people of this Bengal were followers of Buddhism. Buddhists ruled Bengal for four hundred years. Buddhist rule was known as 'Pala' rule. That is, the entire Pala period was the Buddhist period in the history of Bengal.")</f>
        <v>Once the majority of the people of this Bengal were followers of Buddhism. Buddhists ruled Bengal for four hundred years. Buddhist rule was known as 'Pala' rule. That is, the entire Pala period was the Buddhist period in the history of Bengal.</v>
      </c>
      <c r="D3480" s="7"/>
      <c r="E3480" s="5"/>
      <c r="F3480" s="5"/>
      <c r="G3480" s="5"/>
      <c r="H3480" s="5"/>
      <c r="I3480" s="5"/>
      <c r="J3480" s="5"/>
      <c r="K3480" s="5"/>
      <c r="L3480" s="5"/>
      <c r="M3480" s="5"/>
      <c r="N3480" s="5"/>
      <c r="O3480" s="5"/>
      <c r="P3480" s="5"/>
      <c r="Q3480" s="5"/>
      <c r="R3480" s="5"/>
      <c r="S3480" s="5"/>
      <c r="T3480" s="5"/>
      <c r="U3480" s="5"/>
      <c r="V3480" s="5"/>
      <c r="W3480" s="5"/>
      <c r="X3480" s="5"/>
      <c r="Y3480" s="5"/>
      <c r="Z3480" s="5"/>
    </row>
    <row r="3481" spans="1:26" ht="15.6" x14ac:dyDescent="0.3">
      <c r="A3481" s="18" t="s">
        <v>3</v>
      </c>
      <c r="B3481" s="25" t="s">
        <v>3468</v>
      </c>
      <c r="C3481" s="2" t="str">
        <f ca="1">IFERROR(__xludf.DUMMYFUNCTION("GOOGLETRANSLATE(B3481, ""bn"", ""en"")"),"I was born in a Muslim family, I used to read Quran every day. My life was difficult, but one day a brother said that if I take refuge in Jesus Christ, all my troubles will end.")</f>
        <v>I was born in a Muslim family, I used to read Quran every day. My life was difficult, but one day a brother said that if I take refuge in Jesus Christ, all my troubles will end.</v>
      </c>
      <c r="D3481" s="5"/>
      <c r="E3481" s="5"/>
      <c r="F3481" s="5"/>
      <c r="G3481" s="5"/>
      <c r="H3481" s="5"/>
      <c r="I3481" s="5"/>
      <c r="J3481" s="5"/>
      <c r="K3481" s="5"/>
      <c r="L3481" s="5"/>
      <c r="M3481" s="5"/>
      <c r="N3481" s="5"/>
      <c r="O3481" s="5"/>
      <c r="P3481" s="5"/>
      <c r="Q3481" s="5"/>
      <c r="R3481" s="5"/>
      <c r="S3481" s="5"/>
      <c r="T3481" s="5"/>
      <c r="U3481" s="5"/>
      <c r="V3481" s="5"/>
      <c r="W3481" s="5"/>
      <c r="X3481" s="5"/>
      <c r="Y3481" s="5"/>
      <c r="Z3481" s="5"/>
    </row>
    <row r="3482" spans="1:26" ht="15.6" x14ac:dyDescent="0.3">
      <c r="A3482" s="18" t="s">
        <v>5</v>
      </c>
      <c r="B3482" s="24" t="s">
        <v>3469</v>
      </c>
      <c r="C3482" s="2" t="str">
        <f ca="1">IFERROR(__xludf.DUMMYFUNCTION("GOOGLETRANSLATE(B3482, ""bn"", ""en"")"),"Religious groups burn minority houses in Shariatpur; 35 people lost their lives.")</f>
        <v>Religious groups burn minority houses in Shariatpur; 35 people lost their lives.</v>
      </c>
      <c r="D3482" s="5"/>
      <c r="E3482" s="5"/>
      <c r="F3482" s="5"/>
      <c r="G3482" s="5"/>
      <c r="H3482" s="5"/>
      <c r="I3482" s="5"/>
      <c r="J3482" s="5"/>
      <c r="K3482" s="5"/>
      <c r="L3482" s="5"/>
      <c r="M3482" s="5"/>
      <c r="N3482" s="5"/>
      <c r="O3482" s="5"/>
      <c r="P3482" s="5"/>
      <c r="Q3482" s="5"/>
      <c r="R3482" s="5"/>
      <c r="S3482" s="5"/>
      <c r="T3482" s="5"/>
      <c r="U3482" s="5"/>
      <c r="V3482" s="5"/>
      <c r="W3482" s="5"/>
      <c r="X3482" s="5"/>
      <c r="Y3482" s="5"/>
      <c r="Z3482" s="5"/>
    </row>
    <row r="3483" spans="1:26" ht="15.6" x14ac:dyDescent="0.3">
      <c r="A3483" s="19" t="s">
        <v>3</v>
      </c>
      <c r="B3483" s="26" t="s">
        <v>3470</v>
      </c>
      <c r="C3483" s="2" t="str">
        <f ca="1">IFERROR(__xludf.DUMMYFUNCTION("GOOGLETRANSLATE(B3483, ""bn"", ""en"")"),"Alhamdulillah, the more I listen, the easier it is to change myself. Love Ustad Noman Ali.")</f>
        <v>Alhamdulillah, the more I listen, the easier it is to change myself. Love Ustad Noman Ali.</v>
      </c>
      <c r="D3483" s="7"/>
      <c r="E3483" s="7"/>
      <c r="F3483" s="7"/>
      <c r="G3483" s="7"/>
      <c r="H3483" s="5"/>
      <c r="I3483" s="5"/>
      <c r="J3483" s="5"/>
      <c r="K3483" s="5"/>
      <c r="L3483" s="5"/>
      <c r="M3483" s="5"/>
      <c r="N3483" s="5"/>
      <c r="O3483" s="5"/>
      <c r="P3483" s="5"/>
      <c r="Q3483" s="5"/>
      <c r="R3483" s="5"/>
      <c r="S3483" s="5"/>
      <c r="T3483" s="5"/>
      <c r="U3483" s="5"/>
      <c r="V3483" s="5"/>
      <c r="W3483" s="5"/>
      <c r="X3483" s="5"/>
      <c r="Y3483" s="5"/>
      <c r="Z3483" s="5"/>
    </row>
    <row r="3484" spans="1:26" ht="15.6" x14ac:dyDescent="0.3">
      <c r="A3484" s="18" t="s">
        <v>5</v>
      </c>
      <c r="B3484" s="24" t="s">
        <v>3471</v>
      </c>
      <c r="C3484" s="2" t="str">
        <f ca="1">IFERROR(__xludf.DUMMYFUNCTION("GOOGLETRANSLATE(B3484, ""bn"", ""en"")"),"Extremist groups brutally attacked minority Hindus in an area of ​​Bagerhat in riots fueled by religious hatred. Although the police tried to control the crowd, violence broke out. At least 63 people were killed and many were seriously injured. Those who "&amp;"could survive fled the village for safety, leaving many families homeless. The situation worsened as the local administration failed to provide assistance.")</f>
        <v>Extremist groups brutally attacked minority Hindus in an area of ​​Bagerhat in riots fueled by religious hatred. Although the police tried to control the crowd, violence broke out. At least 63 people were killed and many were seriously injured. Those who could survive fled the village for safety, leaving many families homeless. The situation worsened as the local administration failed to provide assistance.</v>
      </c>
      <c r="D3484" s="5"/>
      <c r="E3484" s="5"/>
      <c r="F3484" s="5"/>
      <c r="G3484" s="5"/>
      <c r="H3484" s="5"/>
      <c r="I3484" s="5"/>
      <c r="J3484" s="5"/>
      <c r="K3484" s="5"/>
      <c r="L3484" s="5"/>
      <c r="M3484" s="5"/>
      <c r="N3484" s="5"/>
      <c r="O3484" s="5"/>
      <c r="P3484" s="5"/>
      <c r="Q3484" s="5"/>
      <c r="R3484" s="5"/>
      <c r="S3484" s="5"/>
      <c r="T3484" s="5"/>
      <c r="U3484" s="5"/>
      <c r="V3484" s="5"/>
      <c r="W3484" s="5"/>
      <c r="X3484" s="5"/>
      <c r="Y3484" s="5"/>
      <c r="Z3484" s="5"/>
    </row>
    <row r="3485" spans="1:26" ht="15.6" x14ac:dyDescent="0.3">
      <c r="A3485" s="18" t="s">
        <v>8</v>
      </c>
      <c r="B3485" s="25" t="s">
        <v>3472</v>
      </c>
      <c r="C3485" s="2" t="str">
        <f ca="1">IFERROR(__xludf.DUMMYFUNCTION("GOOGLETRANSLATE(B3485, ""bn"", ""en"")"),"Hundreds of Hindu houses were set on fire and many were displaced in Santhia, Pabna, on rumors of insulting Islam.")</f>
        <v>Hundreds of Hindu houses were set on fire and many were displaced in Santhia, Pabna, on rumors of insulting Islam.</v>
      </c>
      <c r="D3485" s="5"/>
      <c r="E3485" s="5"/>
      <c r="F3485" s="5"/>
      <c r="G3485" s="5"/>
      <c r="H3485" s="5"/>
      <c r="I3485" s="5"/>
      <c r="J3485" s="5"/>
      <c r="K3485" s="5"/>
      <c r="L3485" s="5"/>
      <c r="M3485" s="5"/>
      <c r="N3485" s="5"/>
      <c r="O3485" s="5"/>
      <c r="P3485" s="5"/>
      <c r="Q3485" s="5"/>
      <c r="R3485" s="5"/>
      <c r="S3485" s="5"/>
      <c r="T3485" s="5"/>
      <c r="U3485" s="5"/>
      <c r="V3485" s="5"/>
      <c r="W3485" s="5"/>
      <c r="X3485" s="5"/>
      <c r="Y3485" s="5"/>
      <c r="Z3485" s="5"/>
    </row>
    <row r="3486" spans="1:26" ht="15.6" x14ac:dyDescent="0.3">
      <c r="A3486" s="19" t="s">
        <v>23</v>
      </c>
      <c r="B3486" s="26" t="s">
        <v>3473</v>
      </c>
      <c r="C3486" s="2" t="str">
        <f ca="1">IFERROR(__xludf.DUMMYFUNCTION("GOOGLETRANSLATE(B3486, ""bn"", ""en"")"),"They all have Muslim names, they would have deleted this identity if they got independence.")</f>
        <v>They all have Muslim names, they would have deleted this identity if they got independence.</v>
      </c>
      <c r="D3486" s="5"/>
      <c r="E3486" s="5"/>
      <c r="F3486" s="5"/>
      <c r="G3486" s="5"/>
      <c r="H3486" s="5"/>
      <c r="I3486" s="5"/>
      <c r="J3486" s="5"/>
      <c r="K3486" s="5"/>
      <c r="L3486" s="5"/>
      <c r="M3486" s="5"/>
      <c r="N3486" s="5"/>
      <c r="O3486" s="5"/>
      <c r="P3486" s="5"/>
      <c r="Q3486" s="5"/>
      <c r="R3486" s="5"/>
      <c r="S3486" s="5"/>
      <c r="T3486" s="5"/>
      <c r="U3486" s="5"/>
      <c r="V3486" s="5"/>
      <c r="W3486" s="5"/>
      <c r="X3486" s="5"/>
      <c r="Y3486" s="5"/>
      <c r="Z3486" s="5"/>
    </row>
    <row r="3487" spans="1:26" ht="15.6" x14ac:dyDescent="0.3">
      <c r="A3487" s="18" t="s">
        <v>3</v>
      </c>
      <c r="B3487" s="25" t="s">
        <v>3474</v>
      </c>
      <c r="C3487" s="2" t="str">
        <f ca="1">IFERROR(__xludf.DUMMYFUNCTION("GOOGLETRANSLATE(B3487, ""bn"", ""en"")"),"According to Hinduism, when eating with people of other faiths, it is often recommended to cook in separate utensils and eat in separate places, to ensure a suitable environment for all.")</f>
        <v>According to Hinduism, when eating with people of other faiths, it is often recommended to cook in separate utensils and eat in separate places, to ensure a suitable environment for all.</v>
      </c>
      <c r="D3487" s="5"/>
      <c r="E3487" s="5"/>
      <c r="F3487" s="5"/>
      <c r="G3487" s="5"/>
      <c r="H3487" s="5"/>
      <c r="I3487" s="5"/>
      <c r="J3487" s="5"/>
      <c r="K3487" s="5"/>
      <c r="L3487" s="5"/>
      <c r="M3487" s="5"/>
      <c r="N3487" s="5"/>
      <c r="O3487" s="5"/>
      <c r="P3487" s="5"/>
      <c r="Q3487" s="5"/>
      <c r="R3487" s="5"/>
      <c r="S3487" s="5"/>
      <c r="T3487" s="5"/>
      <c r="U3487" s="5"/>
      <c r="V3487" s="5"/>
      <c r="W3487" s="5"/>
      <c r="X3487" s="5"/>
      <c r="Y3487" s="5"/>
      <c r="Z3487" s="5"/>
    </row>
    <row r="3488" spans="1:26" ht="15.6" x14ac:dyDescent="0.3">
      <c r="A3488" s="18" t="s">
        <v>5</v>
      </c>
      <c r="B3488" s="24" t="s">
        <v>3475</v>
      </c>
      <c r="C3488" s="2" t="str">
        <f ca="1">IFERROR(__xludf.DUMMYFUNCTION("GOOGLETRANSLATE(B3488, ""bn"", ""en"")"),"At least 30 people lost their lives in Hindu-Muslim riots in Sirajganj and strict measures were taken to calm the situation.")</f>
        <v>At least 30 people lost their lives in Hindu-Muslim riots in Sirajganj and strict measures were taken to calm the situation.</v>
      </c>
      <c r="D3488" s="5"/>
      <c r="E3488" s="5"/>
      <c r="F3488" s="5"/>
      <c r="G3488" s="5"/>
      <c r="H3488" s="5"/>
      <c r="I3488" s="5"/>
      <c r="J3488" s="5"/>
      <c r="K3488" s="5"/>
      <c r="L3488" s="5"/>
      <c r="M3488" s="5"/>
      <c r="N3488" s="5"/>
      <c r="O3488" s="5"/>
      <c r="P3488" s="5"/>
      <c r="Q3488" s="5"/>
      <c r="R3488" s="5"/>
      <c r="S3488" s="5"/>
      <c r="T3488" s="5"/>
      <c r="U3488" s="5"/>
      <c r="V3488" s="5"/>
      <c r="W3488" s="5"/>
      <c r="X3488" s="5"/>
      <c r="Y3488" s="5"/>
      <c r="Z3488" s="5"/>
    </row>
    <row r="3489" spans="1:26" ht="15.6" x14ac:dyDescent="0.3">
      <c r="A3489" s="18" t="s">
        <v>23</v>
      </c>
      <c r="B3489" s="25" t="s">
        <v>3476</v>
      </c>
      <c r="C3489" s="2" t="str">
        <f ca="1">IFERROR(__xludf.DUMMYFUNCTION("GOOGLETRANSLATE(B3489, ""bn"", ""en"")"),"Negligence and contempt on such a holy Quran is not acceptable, we all protest it from our place!!")</f>
        <v>Negligence and contempt on such a holy Quran is not acceptable, we all protest it from our place!!</v>
      </c>
      <c r="D3489" s="5"/>
      <c r="E3489" s="5"/>
      <c r="F3489" s="5"/>
      <c r="G3489" s="5"/>
      <c r="H3489" s="5"/>
      <c r="I3489" s="5"/>
      <c r="J3489" s="5"/>
      <c r="K3489" s="5"/>
      <c r="L3489" s="5"/>
      <c r="M3489" s="5"/>
      <c r="N3489" s="5"/>
      <c r="O3489" s="5"/>
      <c r="P3489" s="5"/>
      <c r="Q3489" s="5"/>
      <c r="R3489" s="5"/>
      <c r="S3489" s="5"/>
      <c r="T3489" s="5"/>
      <c r="U3489" s="5"/>
      <c r="V3489" s="5"/>
      <c r="W3489" s="5"/>
      <c r="X3489" s="5"/>
      <c r="Y3489" s="5"/>
      <c r="Z3489" s="5"/>
    </row>
    <row r="3490" spans="1:26" ht="15.6" x14ac:dyDescent="0.3">
      <c r="A3490" s="19" t="s">
        <v>5</v>
      </c>
      <c r="B3490" s="26" t="s">
        <v>3477</v>
      </c>
      <c r="C3490" s="2" t="str">
        <f ca="1">IFERROR(__xludf.DUMMYFUNCTION("GOOGLETRANSLATE(B3490, ""bn"", ""en"")"),"The local army massacred the Bengali Hindus. Shankheribazar was deserted, with only dead bodies of Hindus on the streets. Many fled across Buriganga to Keraniganj. Later the name of the road was changed to Tikka Khan Road.")</f>
        <v>The local army massacred the Bengali Hindus. Shankheribazar was deserted, with only dead bodies of Hindus on the streets. Many fled across Buriganga to Keraniganj. Later the name of the road was changed to Tikka Khan Road.</v>
      </c>
      <c r="D3490" s="7"/>
      <c r="E3490" s="7"/>
      <c r="F3490" s="7"/>
      <c r="G3490" s="7"/>
      <c r="H3490" s="7"/>
      <c r="I3490" s="7"/>
      <c r="J3490" s="7"/>
      <c r="K3490" s="7"/>
      <c r="L3490" s="7"/>
      <c r="M3490" s="7"/>
      <c r="N3490" s="7"/>
      <c r="O3490" s="7"/>
      <c r="P3490" s="7"/>
      <c r="Q3490" s="7"/>
      <c r="R3490" s="7"/>
      <c r="S3490" s="7"/>
      <c r="T3490" s="5"/>
      <c r="U3490" s="5"/>
      <c r="V3490" s="5"/>
      <c r="W3490" s="5"/>
      <c r="X3490" s="5"/>
      <c r="Y3490" s="5"/>
      <c r="Z3490" s="5"/>
    </row>
    <row r="3491" spans="1:26" ht="15.6" x14ac:dyDescent="0.3">
      <c r="A3491" s="18" t="s">
        <v>8</v>
      </c>
      <c r="B3491" s="25" t="s">
        <v>3478</v>
      </c>
      <c r="C3491" s="2" t="str">
        <f ca="1">IFERROR(__xludf.DUMMYFUNCTION("GOOGLETRANSLATE(B3491, ""bn"", ""en"")"),"In 2012, one of the biggest incidents of spreading religious hatred took place in 2012 when a number of Buddhist temples were set on fire in Ramu, Cox's Bazar, on charges of desecration of the Koran Sharif on Facebook.")</f>
        <v>In 2012, one of the biggest incidents of spreading religious hatred took place in 2012 when a number of Buddhist temples were set on fire in Ramu, Cox's Bazar, on charges of desecration of the Koran Sharif on Facebook.</v>
      </c>
      <c r="D3491" s="2"/>
      <c r="E3491" s="2"/>
      <c r="F3491" s="2"/>
      <c r="G3491" s="2"/>
      <c r="H3491" s="3"/>
      <c r="I3491" s="3"/>
      <c r="J3491" s="3"/>
      <c r="K3491" s="3"/>
      <c r="L3491" s="3"/>
      <c r="M3491" s="3"/>
      <c r="N3491" s="3"/>
      <c r="O3491" s="3"/>
      <c r="P3491" s="3"/>
      <c r="Q3491" s="3"/>
      <c r="R3491" s="3"/>
      <c r="S3491" s="3"/>
      <c r="T3491" s="3"/>
      <c r="U3491" s="3"/>
      <c r="V3491" s="3"/>
      <c r="W3491" s="3"/>
      <c r="X3491" s="3"/>
      <c r="Y3491" s="3"/>
      <c r="Z3491" s="3"/>
    </row>
    <row r="3492" spans="1:26" ht="15.6" x14ac:dyDescent="0.3">
      <c r="A3492" s="19" t="s">
        <v>23</v>
      </c>
      <c r="B3492" s="26" t="s">
        <v>3479</v>
      </c>
      <c r="C3492" s="2" t="str">
        <f ca="1">IFERROR(__xludf.DUMMYFUNCTION("GOOGLETRANSLATE(B3492, ""bn"", ""en"")"),"Distorting religious values ​​into unexpected words. Ignoring religious texts, customs and beliefs is creating various differences.")</f>
        <v>Distorting religious values ​​into unexpected words. Ignoring religious texts, customs and beliefs is creating various differences.</v>
      </c>
      <c r="D3492" s="5"/>
      <c r="E3492" s="5"/>
      <c r="F3492" s="5"/>
      <c r="G3492" s="5"/>
      <c r="H3492" s="5"/>
      <c r="I3492" s="5"/>
      <c r="J3492" s="5"/>
      <c r="K3492" s="5"/>
      <c r="L3492" s="5"/>
      <c r="M3492" s="5"/>
      <c r="N3492" s="5"/>
      <c r="O3492" s="5"/>
      <c r="P3492" s="5"/>
      <c r="Q3492" s="5"/>
      <c r="R3492" s="5"/>
      <c r="S3492" s="5"/>
      <c r="T3492" s="5"/>
      <c r="U3492" s="5"/>
      <c r="V3492" s="5"/>
      <c r="W3492" s="5"/>
      <c r="X3492" s="5"/>
      <c r="Y3492" s="5"/>
      <c r="Z3492" s="5"/>
    </row>
    <row r="3493" spans="1:26" ht="15.6" x14ac:dyDescent="0.3">
      <c r="A3493" s="18" t="s">
        <v>5</v>
      </c>
      <c r="B3493" s="24" t="s">
        <v>3480</v>
      </c>
      <c r="C3493" s="2" t="str">
        <f ca="1">IFERROR(__xludf.DUMMYFUNCTION("GOOGLETRANSLATE(B3493, ""bn"", ""en"")"),"In Kishoreganj Hindu-Muslim conflict, the army was deployed to calm the situation. At least 29 people were killed.")</f>
        <v>In Kishoreganj Hindu-Muslim conflict, the army was deployed to calm the situation. At least 29 people were killed.</v>
      </c>
      <c r="D3493" s="5"/>
      <c r="E3493" s="5"/>
      <c r="F3493" s="5"/>
      <c r="G3493" s="5"/>
      <c r="H3493" s="5"/>
      <c r="I3493" s="5"/>
      <c r="J3493" s="5"/>
      <c r="K3493" s="5"/>
      <c r="L3493" s="5"/>
      <c r="M3493" s="5"/>
      <c r="N3493" s="5"/>
      <c r="O3493" s="5"/>
      <c r="P3493" s="5"/>
      <c r="Q3493" s="5"/>
      <c r="R3493" s="5"/>
      <c r="S3493" s="5"/>
      <c r="T3493" s="5"/>
      <c r="U3493" s="5"/>
      <c r="V3493" s="5"/>
      <c r="W3493" s="5"/>
      <c r="X3493" s="5"/>
      <c r="Y3493" s="5"/>
      <c r="Z3493" s="5"/>
    </row>
    <row r="3494" spans="1:26" ht="15.6" x14ac:dyDescent="0.3">
      <c r="A3494" s="18" t="s">
        <v>5</v>
      </c>
      <c r="B3494" s="25" t="s">
        <v>3481</v>
      </c>
      <c r="C3494" s="2" t="str">
        <f ca="1">IFERROR(__xludf.DUMMYFUNCTION("GOOGLETRANSLATE(B3494, ""bn"", ""en"")"),"Humanity and religious harmony are in jeopardy in Jhenaidah today, a group of religious fanatics are carrying out bloodthirsty massacres.")</f>
        <v>Humanity and religious harmony are in jeopardy in Jhenaidah today, a group of religious fanatics are carrying out bloodthirsty massacres.</v>
      </c>
      <c r="D3494" s="2"/>
      <c r="E3494" s="2"/>
      <c r="F3494" s="2"/>
      <c r="G3494" s="2"/>
      <c r="H3494" s="5"/>
      <c r="I3494" s="5"/>
      <c r="J3494" s="5"/>
      <c r="K3494" s="5"/>
      <c r="L3494" s="5"/>
      <c r="M3494" s="5"/>
      <c r="N3494" s="5"/>
      <c r="O3494" s="5"/>
      <c r="P3494" s="5"/>
      <c r="Q3494" s="5"/>
      <c r="R3494" s="5"/>
      <c r="S3494" s="5"/>
      <c r="T3494" s="5"/>
      <c r="U3494" s="5"/>
      <c r="V3494" s="5"/>
      <c r="W3494" s="5"/>
      <c r="X3494" s="5"/>
      <c r="Y3494" s="5"/>
      <c r="Z3494" s="5"/>
    </row>
    <row r="3495" spans="1:26" ht="15.6" x14ac:dyDescent="0.3">
      <c r="A3495" s="18" t="s">
        <v>5</v>
      </c>
      <c r="B3495" s="24" t="s">
        <v>3482</v>
      </c>
      <c r="C3495" s="2" t="str">
        <f ca="1">IFERROR(__xludf.DUMMYFUNCTION("GOOGLETRANSLATE(B3495, ""bn"", ""en"")"),"Acid is thrown in girls' mouths to prevent them from receiving religious education, leaving them permanently blind; 19 people were killed in the attack.")</f>
        <v>Acid is thrown in girls' mouths to prevent them from receiving religious education, leaving them permanently blind; 19 people were killed in the attack.</v>
      </c>
      <c r="D3495" s="5"/>
      <c r="E3495" s="5"/>
      <c r="F3495" s="5"/>
      <c r="G3495" s="5"/>
      <c r="H3495" s="5"/>
      <c r="I3495" s="5"/>
      <c r="J3495" s="5"/>
      <c r="K3495" s="5"/>
      <c r="L3495" s="5"/>
      <c r="M3495" s="5"/>
      <c r="N3495" s="5"/>
      <c r="O3495" s="5"/>
      <c r="P3495" s="5"/>
      <c r="Q3495" s="5"/>
      <c r="R3495" s="5"/>
      <c r="S3495" s="5"/>
      <c r="T3495" s="5"/>
      <c r="U3495" s="5"/>
      <c r="V3495" s="5"/>
      <c r="W3495" s="5"/>
      <c r="X3495" s="5"/>
      <c r="Y3495" s="5"/>
      <c r="Z3495" s="5"/>
    </row>
    <row r="3496" spans="1:26" ht="15.6" x14ac:dyDescent="0.3">
      <c r="A3496" s="18" t="s">
        <v>23</v>
      </c>
      <c r="B3496" s="25" t="s">
        <v>3483</v>
      </c>
      <c r="C3496" s="2" t="str">
        <f ca="1">IFERROR(__xludf.DUMMYFUNCTION("GOOGLETRANSLATE(B3496, ""bn"", ""en"")"),"""You are Muslim. Malauns are conspiring against you"" Yes! You will soon see that this nation will take the shield and sword and cut the Hindu community.")</f>
        <v>"You are Muslim. Malauns are conspiring against you" Yes! You will soon see that this nation will take the shield and sword and cut the Hindu community.</v>
      </c>
      <c r="D3496" s="5"/>
      <c r="E3496" s="5"/>
      <c r="F3496" s="5"/>
      <c r="G3496" s="5"/>
      <c r="H3496" s="5"/>
      <c r="I3496" s="5"/>
      <c r="J3496" s="5"/>
      <c r="K3496" s="5"/>
      <c r="L3496" s="5"/>
      <c r="M3496" s="5"/>
      <c r="N3496" s="5"/>
      <c r="O3496" s="5"/>
      <c r="P3496" s="5"/>
      <c r="Q3496" s="5"/>
      <c r="R3496" s="5"/>
      <c r="S3496" s="5"/>
      <c r="T3496" s="5"/>
      <c r="U3496" s="5"/>
      <c r="V3496" s="5"/>
      <c r="W3496" s="5"/>
      <c r="X3496" s="5"/>
      <c r="Y3496" s="5"/>
      <c r="Z3496" s="5"/>
    </row>
    <row r="3497" spans="1:26" ht="15.6" x14ac:dyDescent="0.3">
      <c r="A3497" s="18" t="s">
        <v>3</v>
      </c>
      <c r="B3497" s="25" t="s">
        <v>3484</v>
      </c>
      <c r="C3497" s="2" t="str">
        <f ca="1">IFERROR(__xludf.DUMMYFUNCTION("GOOGLETRANSLATE(B3497, ""bn"", ""en"")"),"Queen Victoria ruled over more Muslims than there were under the Ottoman Empire in Turkey.")</f>
        <v>Queen Victoria ruled over more Muslims than there were under the Ottoman Empire in Turkey.</v>
      </c>
      <c r="D3497" s="5"/>
      <c r="E3497" s="5"/>
      <c r="F3497" s="5"/>
      <c r="G3497" s="5"/>
      <c r="H3497" s="5"/>
      <c r="I3497" s="5"/>
      <c r="J3497" s="5"/>
      <c r="K3497" s="5"/>
      <c r="L3497" s="5"/>
      <c r="M3497" s="5"/>
      <c r="N3497" s="5"/>
      <c r="O3497" s="5"/>
      <c r="P3497" s="5"/>
      <c r="Q3497" s="5"/>
      <c r="R3497" s="5"/>
      <c r="S3497" s="5"/>
      <c r="T3497" s="5"/>
      <c r="U3497" s="5"/>
      <c r="V3497" s="5"/>
      <c r="W3497" s="5"/>
      <c r="X3497" s="5"/>
      <c r="Y3497" s="5"/>
      <c r="Z3497" s="5"/>
    </row>
    <row r="3498" spans="1:26" ht="15.6" x14ac:dyDescent="0.3">
      <c r="A3498" s="19" t="s">
        <v>3</v>
      </c>
      <c r="B3498" s="26" t="s">
        <v>3485</v>
      </c>
      <c r="C3498" s="2" t="str">
        <f ca="1">IFERROR(__xludf.DUMMYFUNCTION("GOOGLETRANSLATE(B3498, ""bn"", ""en"")"),"Khwaja Nazimuddin initially called for peace, but later said that the injured were all Muslims, and the retaliation was only in self-defense.")</f>
        <v>Khwaja Nazimuddin initially called for peace, but later said that the injured were all Muslims, and the retaliation was only in self-defense.</v>
      </c>
      <c r="D3498" s="7"/>
      <c r="E3498" s="7"/>
      <c r="F3498" s="7"/>
      <c r="G3498" s="7"/>
      <c r="H3498" s="7"/>
      <c r="I3498" s="5"/>
      <c r="J3498" s="5"/>
      <c r="K3498" s="5"/>
      <c r="L3498" s="5"/>
      <c r="M3498" s="5"/>
      <c r="N3498" s="5"/>
      <c r="O3498" s="5"/>
      <c r="P3498" s="5"/>
      <c r="Q3498" s="5"/>
      <c r="R3498" s="5"/>
      <c r="S3498" s="5"/>
      <c r="T3498" s="5"/>
      <c r="U3498" s="5"/>
      <c r="V3498" s="5"/>
      <c r="W3498" s="5"/>
      <c r="X3498" s="5"/>
      <c r="Y3498" s="5"/>
      <c r="Z3498" s="5"/>
    </row>
    <row r="3499" spans="1:26" ht="15.6" x14ac:dyDescent="0.3">
      <c r="A3499" s="18" t="s">
        <v>3</v>
      </c>
      <c r="B3499" s="24" t="s">
        <v>3486</v>
      </c>
      <c r="C3499" s="2" t="str">
        <f ca="1">IFERROR(__xludf.DUMMYFUNCTION("GOOGLETRANSLATE(B3499, ""bn"", ""en"")"),"The main purpose of religion is to establish brotherhood among people, to create an atmosphere of love and compassion.")</f>
        <v>The main purpose of religion is to establish brotherhood among people, to create an atmosphere of love and compassion.</v>
      </c>
      <c r="D3499" s="5"/>
      <c r="E3499" s="5"/>
      <c r="F3499" s="5"/>
      <c r="G3499" s="5"/>
      <c r="H3499" s="5"/>
      <c r="I3499" s="5"/>
      <c r="J3499" s="5"/>
      <c r="K3499" s="5"/>
      <c r="L3499" s="5"/>
      <c r="M3499" s="5"/>
      <c r="N3499" s="5"/>
      <c r="O3499" s="5"/>
      <c r="P3499" s="5"/>
      <c r="Q3499" s="5"/>
      <c r="R3499" s="5"/>
      <c r="S3499" s="5"/>
      <c r="T3499" s="5"/>
      <c r="U3499" s="5"/>
      <c r="V3499" s="5"/>
      <c r="W3499" s="5"/>
      <c r="X3499" s="5"/>
      <c r="Y3499" s="5"/>
      <c r="Z3499" s="5"/>
    </row>
    <row r="3500" spans="1:26" ht="15.6" x14ac:dyDescent="0.3">
      <c r="A3500" s="19" t="s">
        <v>23</v>
      </c>
      <c r="B3500" s="26" t="s">
        <v>3487</v>
      </c>
      <c r="C3500" s="2" t="str">
        <f ca="1">IFERROR(__xludf.DUMMYFUNCTION("GOOGLETRANSLATE(B3500, ""bn"", ""en"")"),"How dare you speak bad/false/fake things about our world prophet.")</f>
        <v>How dare you speak bad/false/fake things about our world prophet.</v>
      </c>
      <c r="D3500" s="5"/>
      <c r="E3500" s="5"/>
      <c r="F3500" s="5"/>
      <c r="G3500" s="5"/>
      <c r="H3500" s="5"/>
      <c r="I3500" s="5"/>
      <c r="J3500" s="5"/>
      <c r="K3500" s="5"/>
      <c r="L3500" s="5"/>
      <c r="M3500" s="5"/>
      <c r="N3500" s="5"/>
      <c r="O3500" s="5"/>
      <c r="P3500" s="5"/>
      <c r="Q3500" s="5"/>
      <c r="R3500" s="5"/>
      <c r="S3500" s="5"/>
      <c r="T3500" s="5"/>
      <c r="U3500" s="5"/>
      <c r="V3500" s="5"/>
      <c r="W3500" s="5"/>
      <c r="X3500" s="5"/>
      <c r="Y3500" s="5"/>
      <c r="Z3500" s="5"/>
    </row>
    <row r="3501" spans="1:26" ht="15.6" x14ac:dyDescent="0.3">
      <c r="A3501" s="18" t="s">
        <v>3</v>
      </c>
      <c r="B3501" s="25" t="s">
        <v>3488</v>
      </c>
      <c r="C3501" s="2" t="str">
        <f ca="1">IFERROR(__xludf.DUMMYFUNCTION("GOOGLETRANSLATE(B3501, ""bn"", ""en"")"),"I came to know about the temple while living in Oklahoma when its followers were campaigning.")</f>
        <v>I came to know about the temple while living in Oklahoma when its followers were campaigning.</v>
      </c>
      <c r="D3501" s="5"/>
      <c r="E3501" s="5"/>
      <c r="F3501" s="5"/>
      <c r="G3501" s="5"/>
      <c r="H3501" s="5"/>
      <c r="I3501" s="5"/>
      <c r="J3501" s="5"/>
      <c r="K3501" s="5"/>
      <c r="L3501" s="5"/>
      <c r="M3501" s="5"/>
      <c r="N3501" s="5"/>
      <c r="O3501" s="5"/>
      <c r="P3501" s="5"/>
      <c r="Q3501" s="5"/>
      <c r="R3501" s="5"/>
      <c r="S3501" s="5"/>
      <c r="T3501" s="5"/>
      <c r="U3501" s="5"/>
      <c r="V3501" s="5"/>
      <c r="W3501" s="5"/>
      <c r="X3501" s="5"/>
      <c r="Y3501" s="5"/>
      <c r="Z3501" s="5"/>
    </row>
    <row r="3502" spans="1:26" ht="15.6" x14ac:dyDescent="0.3">
      <c r="A3502" s="18" t="s">
        <v>5</v>
      </c>
      <c r="B3502" s="25" t="s">
        <v>3489</v>
      </c>
      <c r="C3502" s="2" t="str">
        <f ca="1">IFERROR(__xludf.DUMMYFUNCTION("GOOGLETRANSLATE(B3502, ""bn"", ""en"")"),"An estimated 300 Bengali Hindus were killed. From 5 year old children to 80 year old men and women were killed in this massacre. More than 500 houses were burnt to ashes.")</f>
        <v>An estimated 300 Bengali Hindus were killed. From 5 year old children to 80 year old men and women were killed in this massacre. More than 500 houses were burnt to ashes.</v>
      </c>
      <c r="D3502" s="7"/>
      <c r="E3502" s="7"/>
      <c r="F3502" s="7"/>
      <c r="G3502" s="5"/>
      <c r="H3502" s="5"/>
      <c r="I3502" s="5"/>
      <c r="J3502" s="5"/>
      <c r="K3502" s="5"/>
      <c r="L3502" s="5"/>
      <c r="M3502" s="5"/>
      <c r="N3502" s="5"/>
      <c r="O3502" s="5"/>
      <c r="P3502" s="5"/>
      <c r="Q3502" s="5"/>
      <c r="R3502" s="5"/>
      <c r="S3502" s="5"/>
      <c r="T3502" s="5"/>
      <c r="U3502" s="5"/>
      <c r="V3502" s="5"/>
      <c r="W3502" s="5"/>
      <c r="X3502" s="5"/>
      <c r="Y3502" s="5"/>
      <c r="Z3502" s="5"/>
    </row>
    <row r="3503" spans="1:26" ht="15.6" x14ac:dyDescent="0.3">
      <c r="A3503" s="18" t="s">
        <v>5</v>
      </c>
      <c r="B3503" s="24" t="s">
        <v>3490</v>
      </c>
      <c r="C3503" s="2" t="str">
        <f ca="1">IFERROR(__xludf.DUMMYFUNCTION("GOOGLETRANSLATE(B3503, ""bn"", ""en"")"),"In December 2015, a group gang-raped and killed a woman on religious grounds, killing 12 more in protests.")</f>
        <v>In December 2015, a group gang-raped and killed a woman on religious grounds, killing 12 more in protests.</v>
      </c>
      <c r="D3503" s="5"/>
      <c r="E3503" s="5"/>
      <c r="F3503" s="5"/>
      <c r="G3503" s="5"/>
      <c r="H3503" s="5"/>
      <c r="I3503" s="5"/>
      <c r="J3503" s="5"/>
      <c r="K3503" s="5"/>
      <c r="L3503" s="5"/>
      <c r="M3503" s="5"/>
      <c r="N3503" s="5"/>
      <c r="O3503" s="5"/>
      <c r="P3503" s="5"/>
      <c r="Q3503" s="5"/>
      <c r="R3503" s="5"/>
      <c r="S3503" s="5"/>
      <c r="T3503" s="5"/>
      <c r="U3503" s="5"/>
      <c r="V3503" s="5"/>
      <c r="W3503" s="5"/>
      <c r="X3503" s="5"/>
      <c r="Y3503" s="5"/>
      <c r="Z3503" s="5"/>
    </row>
    <row r="3504" spans="1:26" ht="15.6" x14ac:dyDescent="0.3">
      <c r="A3504" s="18" t="s">
        <v>5</v>
      </c>
      <c r="B3504" s="24" t="s">
        <v>3491</v>
      </c>
      <c r="C3504" s="2" t="str">
        <f ca="1">IFERROR(__xludf.DUMMYFUNCTION("GOOGLETRANSLATE(B3504, ""bn"", ""en"")"),"In September 2015, a young man was brutally murdered for distributing religious books by a group; 12 people lost their lives protesting the incident.")</f>
        <v>In September 2015, a young man was brutally murdered for distributing religious books by a group; 12 people lost their lives protesting the incident.</v>
      </c>
      <c r="D3504" s="5"/>
      <c r="E3504" s="5"/>
      <c r="F3504" s="5"/>
      <c r="G3504" s="5"/>
      <c r="H3504" s="5"/>
      <c r="I3504" s="5"/>
      <c r="J3504" s="5"/>
      <c r="K3504" s="5"/>
      <c r="L3504" s="5"/>
      <c r="M3504" s="5"/>
      <c r="N3504" s="5"/>
      <c r="O3504" s="5"/>
      <c r="P3504" s="5"/>
      <c r="Q3504" s="5"/>
      <c r="R3504" s="5"/>
      <c r="S3504" s="5"/>
      <c r="T3504" s="5"/>
      <c r="U3504" s="5"/>
      <c r="V3504" s="5"/>
      <c r="W3504" s="5"/>
      <c r="X3504" s="5"/>
      <c r="Y3504" s="5"/>
      <c r="Z3504" s="5"/>
    </row>
    <row r="3505" spans="1:26" ht="15.6" x14ac:dyDescent="0.3">
      <c r="A3505" s="19" t="s">
        <v>5</v>
      </c>
      <c r="B3505" s="26" t="s">
        <v>3492</v>
      </c>
      <c r="C3505" s="2" t="str">
        <f ca="1">IFERROR(__xludf.DUMMYFUNCTION("GOOGLETRANSLATE(B3505, ""bn"", ""en"")"),"1 thousand 678 incidents of vandalism and arson have occurred in idols, pujamandap, temples. 862 Hindus were injured in these attacks. 11 people were killed.")</f>
        <v>1 thousand 678 incidents of vandalism and arson have occurred in idols, pujamandap, temples. 862 Hindus were injured in these attacks. 11 people were killed.</v>
      </c>
      <c r="D3505" s="5"/>
      <c r="E3505" s="5"/>
      <c r="F3505" s="5"/>
      <c r="G3505" s="5"/>
      <c r="H3505" s="5"/>
      <c r="I3505" s="5"/>
      <c r="J3505" s="5"/>
      <c r="K3505" s="5"/>
      <c r="L3505" s="5"/>
      <c r="M3505" s="5"/>
      <c r="N3505" s="5"/>
      <c r="O3505" s="5"/>
      <c r="P3505" s="5"/>
      <c r="Q3505" s="5"/>
      <c r="R3505" s="5"/>
      <c r="S3505" s="5"/>
      <c r="T3505" s="5"/>
      <c r="U3505" s="5"/>
      <c r="V3505" s="5"/>
      <c r="W3505" s="5"/>
      <c r="X3505" s="5"/>
      <c r="Y3505" s="5"/>
      <c r="Z3505" s="5"/>
    </row>
    <row r="3506" spans="1:26" ht="15.6" x14ac:dyDescent="0.3">
      <c r="A3506" s="19" t="s">
        <v>23</v>
      </c>
      <c r="B3506" s="26" t="s">
        <v>3493</v>
      </c>
      <c r="C3506" s="2" t="str">
        <f ca="1">IFERROR(__xludf.DUMMYFUNCTION("GOOGLETRANSLATE(B3506, ""bn"", ""en"")"),"If the victim is innocent, the guilty should be punished in the same way — beaten and burned.")</f>
        <v>If the victim is innocent, the guilty should be punished in the same way — beaten and burned.</v>
      </c>
      <c r="D3506" s="7"/>
      <c r="E3506" s="7"/>
      <c r="F3506" s="7"/>
      <c r="G3506" s="5"/>
      <c r="H3506" s="5"/>
      <c r="I3506" s="5"/>
      <c r="J3506" s="5"/>
      <c r="K3506" s="5"/>
      <c r="L3506" s="5"/>
      <c r="M3506" s="5"/>
      <c r="N3506" s="5"/>
      <c r="O3506" s="5"/>
      <c r="P3506" s="5"/>
      <c r="Q3506" s="5"/>
      <c r="R3506" s="5"/>
      <c r="S3506" s="5"/>
      <c r="T3506" s="5"/>
      <c r="U3506" s="5"/>
      <c r="V3506" s="5"/>
      <c r="W3506" s="5"/>
      <c r="X3506" s="5"/>
      <c r="Y3506" s="5"/>
      <c r="Z3506" s="5"/>
    </row>
    <row r="3507" spans="1:26" ht="15.6" x14ac:dyDescent="0.3">
      <c r="A3507" s="18" t="s">
        <v>23</v>
      </c>
      <c r="B3507" s="24" t="s">
        <v>3494</v>
      </c>
      <c r="C3507" s="2" t="str">
        <f ca="1">IFERROR(__xludf.DUMMYFUNCTION("GOOGLETRANSLATE(B3507, ""bn"", ""en"")"),"Many within the Hindu community look down on the festivals of other religions in ways that create communal tension.")</f>
        <v>Many within the Hindu community look down on the festivals of other religions in ways that create communal tension.</v>
      </c>
      <c r="D3507" s="5"/>
      <c r="E3507" s="5"/>
      <c r="F3507" s="5"/>
      <c r="G3507" s="5"/>
      <c r="H3507" s="5"/>
      <c r="I3507" s="5"/>
      <c r="J3507" s="5"/>
      <c r="K3507" s="5"/>
      <c r="L3507" s="5"/>
      <c r="M3507" s="5"/>
      <c r="N3507" s="5"/>
      <c r="O3507" s="5"/>
      <c r="P3507" s="5"/>
      <c r="Q3507" s="5"/>
      <c r="R3507" s="5"/>
      <c r="S3507" s="5"/>
      <c r="T3507" s="5"/>
      <c r="U3507" s="5"/>
      <c r="V3507" s="5"/>
      <c r="W3507" s="5"/>
      <c r="X3507" s="5"/>
      <c r="Y3507" s="5"/>
      <c r="Z3507" s="5"/>
    </row>
    <row r="3508" spans="1:26" ht="15.6" x14ac:dyDescent="0.3">
      <c r="A3508" s="18" t="s">
        <v>8</v>
      </c>
      <c r="B3508" s="25" t="s">
        <v>3495</v>
      </c>
      <c r="C3508" s="2" t="str">
        <f ca="1">IFERROR(__xludf.DUMMYFUNCTION("GOOGLETRANSLATE(B3508, ""bn"", ""en"")"),"At 10 pm on Sunday, October 17, Islamists attacked the Hindu-dominated villages of Majhipara, Battala and Hatibandha in Ramnathpur Union of Pirganj Upazila of Rangpur District on charges of making anti-Islamic comments on Facebook.")</f>
        <v>At 10 pm on Sunday, October 17, Islamists attacked the Hindu-dominated villages of Majhipara, Battala and Hatibandha in Ramnathpur Union of Pirganj Upazila of Rangpur District on charges of making anti-Islamic comments on Facebook.</v>
      </c>
      <c r="D3508" s="6"/>
      <c r="E3508" s="2"/>
      <c r="F3508" s="2"/>
      <c r="G3508" s="2"/>
      <c r="H3508" s="3"/>
      <c r="I3508" s="3"/>
      <c r="J3508" s="3"/>
      <c r="K3508" s="3"/>
      <c r="L3508" s="3"/>
      <c r="M3508" s="3"/>
      <c r="N3508" s="3"/>
      <c r="O3508" s="3"/>
      <c r="P3508" s="3"/>
      <c r="Q3508" s="3"/>
      <c r="R3508" s="3"/>
      <c r="S3508" s="3"/>
      <c r="T3508" s="3"/>
      <c r="U3508" s="3"/>
      <c r="V3508" s="3"/>
      <c r="W3508" s="3"/>
      <c r="X3508" s="3"/>
      <c r="Y3508" s="3"/>
      <c r="Z3508" s="3"/>
    </row>
    <row r="3509" spans="1:26" ht="15.6" x14ac:dyDescent="0.3">
      <c r="A3509" s="19" t="s">
        <v>23</v>
      </c>
      <c r="B3509" s="26" t="s">
        <v>3496</v>
      </c>
      <c r="C3509" s="2" t="str">
        <f ca="1">IFERROR(__xludf.DUMMYFUNCTION("GOOGLETRANSLATE(B3509, ""bn"", ""en"")"),"No religion should be belittled or ridiculed. The administration should take strict action against those who do this irrespective of their religion.")</f>
        <v>No religion should be belittled or ridiculed. The administration should take strict action against those who do this irrespective of their religion.</v>
      </c>
      <c r="D3509" s="5"/>
      <c r="E3509" s="5"/>
      <c r="F3509" s="5"/>
      <c r="G3509" s="5"/>
      <c r="H3509" s="5"/>
      <c r="I3509" s="5"/>
      <c r="J3509" s="5"/>
      <c r="K3509" s="5"/>
      <c r="L3509" s="5"/>
      <c r="M3509" s="5"/>
      <c r="N3509" s="5"/>
      <c r="O3509" s="5"/>
      <c r="P3509" s="5"/>
      <c r="Q3509" s="5"/>
      <c r="R3509" s="5"/>
      <c r="S3509" s="5"/>
      <c r="T3509" s="5"/>
      <c r="U3509" s="5"/>
      <c r="V3509" s="5"/>
      <c r="W3509" s="5"/>
      <c r="X3509" s="5"/>
      <c r="Y3509" s="5"/>
      <c r="Z3509" s="5"/>
    </row>
    <row r="3510" spans="1:26" ht="15.6" x14ac:dyDescent="0.3">
      <c r="A3510" s="18" t="s">
        <v>3</v>
      </c>
      <c r="B3510" s="25" t="s">
        <v>3497</v>
      </c>
      <c r="C3510" s="2" t="str">
        <f ca="1">IFERROR(__xludf.DUMMYFUNCTION("GOOGLETRANSLATE(B3510, ""bn"", ""en"")"),"Donation of solid cheebur, a religious rite and festival of Buddhism, is usually celebrated at any convenient time within a month of Prabarana Purnima according to the Bengali lunar calendar.")</f>
        <v>Donation of solid cheebur, a religious rite and festival of Buddhism, is usually celebrated at any convenient time within a month of Prabarana Purnima according to the Bengali lunar calendar.</v>
      </c>
      <c r="D3510" s="2"/>
      <c r="E3510" s="2"/>
      <c r="F3510" s="2"/>
      <c r="G3510" s="2"/>
      <c r="H3510" s="5"/>
      <c r="I3510" s="5"/>
      <c r="J3510" s="5"/>
      <c r="K3510" s="5"/>
      <c r="L3510" s="5"/>
      <c r="M3510" s="5"/>
      <c r="N3510" s="5"/>
      <c r="O3510" s="5"/>
      <c r="P3510" s="5"/>
      <c r="Q3510" s="5"/>
      <c r="R3510" s="5"/>
      <c r="S3510" s="5"/>
      <c r="T3510" s="5"/>
      <c r="U3510" s="5"/>
      <c r="V3510" s="5"/>
      <c r="W3510" s="5"/>
      <c r="X3510" s="5"/>
      <c r="Y3510" s="5"/>
      <c r="Z3510" s="5"/>
    </row>
    <row r="3511" spans="1:26" ht="15.6" x14ac:dyDescent="0.3">
      <c r="A3511" s="18" t="s">
        <v>5</v>
      </c>
      <c r="B3511" s="25" t="s">
        <v>3498</v>
      </c>
      <c r="C3511" s="2" t="str">
        <f ca="1">IFERROR(__xludf.DUMMYFUNCTION("GOOGLETRANSLATE(B3511, ""bn"", ""en"")"),"Angered by the wrongful killing of her husband in the name of protecting her chastity, Kannagi took revenge against the religious justice system by destroying Madurai and sacrificed herself so that the souls of the innocents killed in the wrong could rest"&amp;" in peace.")</f>
        <v>Angered by the wrongful killing of her husband in the name of protecting her chastity, Kannagi took revenge against the religious justice system by destroying Madurai and sacrificed herself so that the souls of the innocents killed in the wrong could rest in peace.</v>
      </c>
      <c r="D3511" s="5"/>
      <c r="E3511" s="5"/>
      <c r="F3511" s="5"/>
      <c r="G3511" s="5"/>
      <c r="H3511" s="5"/>
      <c r="I3511" s="5"/>
      <c r="J3511" s="5"/>
      <c r="K3511" s="5"/>
      <c r="L3511" s="5"/>
      <c r="M3511" s="5"/>
      <c r="N3511" s="5"/>
      <c r="O3511" s="5"/>
      <c r="P3511" s="5"/>
      <c r="Q3511" s="5"/>
      <c r="R3511" s="5"/>
      <c r="S3511" s="5"/>
      <c r="T3511" s="5"/>
      <c r="U3511" s="5"/>
      <c r="V3511" s="5"/>
      <c r="W3511" s="5"/>
      <c r="X3511" s="5"/>
      <c r="Y3511" s="5"/>
      <c r="Z3511" s="5"/>
    </row>
    <row r="3512" spans="1:26" ht="15.6" x14ac:dyDescent="0.3">
      <c r="A3512" s="18" t="s">
        <v>3</v>
      </c>
      <c r="B3512" s="25" t="s">
        <v>3499</v>
      </c>
      <c r="C3512" s="2" t="str">
        <f ca="1">IFERROR(__xludf.DUMMYFUNCTION("GOOGLETRANSLATE(B3512, ""bn"", ""en"")"),"No doctrines are insulted, only where the differences between Sanatan Dharma and other doctrines are presented with evidence.")</f>
        <v>No doctrines are insulted, only where the differences between Sanatan Dharma and other doctrines are presented with evidence.</v>
      </c>
      <c r="D3512" s="5"/>
      <c r="E3512" s="5"/>
      <c r="F3512" s="5"/>
      <c r="G3512" s="5"/>
      <c r="H3512" s="5"/>
      <c r="I3512" s="5"/>
      <c r="J3512" s="5"/>
      <c r="K3512" s="5"/>
      <c r="L3512" s="5"/>
      <c r="M3512" s="5"/>
      <c r="N3512" s="5"/>
      <c r="O3512" s="5"/>
      <c r="P3512" s="5"/>
      <c r="Q3512" s="5"/>
      <c r="R3512" s="5"/>
      <c r="S3512" s="5"/>
      <c r="T3512" s="5"/>
      <c r="U3512" s="5"/>
      <c r="V3512" s="5"/>
      <c r="W3512" s="5"/>
      <c r="X3512" s="5"/>
      <c r="Y3512" s="5"/>
      <c r="Z3512" s="5"/>
    </row>
    <row r="3513" spans="1:26" ht="15.6" x14ac:dyDescent="0.3">
      <c r="A3513" s="19" t="s">
        <v>3</v>
      </c>
      <c r="B3513" s="26" t="s">
        <v>3500</v>
      </c>
      <c r="C3513" s="2" t="str">
        <f ca="1">IFERROR(__xludf.DUMMYFUNCTION("GOOGLETRANSLATE(B3513, ""bn"", ""en"")"),"Buddhist monks are gifted with a special garment called the tri-cheebra, and devotees donate the cheebra and its accessories every year in hopes of auspiciousness.")</f>
        <v>Buddhist monks are gifted with a special garment called the tri-cheebra, and devotees donate the cheebra and its accessories every year in hopes of auspiciousness.</v>
      </c>
      <c r="D3513" s="7"/>
      <c r="E3513" s="7"/>
      <c r="F3513" s="7"/>
      <c r="G3513" s="7"/>
      <c r="H3513" s="7"/>
      <c r="I3513" s="7"/>
      <c r="J3513" s="7"/>
      <c r="K3513" s="5"/>
      <c r="L3513" s="5"/>
      <c r="M3513" s="5"/>
      <c r="N3513" s="5"/>
      <c r="O3513" s="5"/>
      <c r="P3513" s="5"/>
      <c r="Q3513" s="5"/>
      <c r="R3513" s="5"/>
      <c r="S3513" s="5"/>
      <c r="T3513" s="5"/>
      <c r="U3513" s="5"/>
      <c r="V3513" s="5"/>
      <c r="W3513" s="5"/>
      <c r="X3513" s="5"/>
      <c r="Y3513" s="5"/>
      <c r="Z3513" s="5"/>
    </row>
    <row r="3514" spans="1:26" ht="15.6" x14ac:dyDescent="0.3">
      <c r="A3514" s="18" t="s">
        <v>23</v>
      </c>
      <c r="B3514" s="25" t="s">
        <v>3501</v>
      </c>
      <c r="C3514" s="2" t="str">
        <f ca="1">IFERROR(__xludf.DUMMYFUNCTION("GOOGLETRANSLATE(B3514, ""bn"", ""en"")"),"Tomorrow you will shout 'Maloons are against us', then you will kill Hindus with shields and swords, and spread propaganda against them with hadiths on Facebook in the name of your religion.")</f>
        <v>Tomorrow you will shout 'Maloons are against us', then you will kill Hindus with shields and swords, and spread propaganda against them with hadiths on Facebook in the name of your religion.</v>
      </c>
      <c r="D3514" s="5"/>
      <c r="E3514" s="5"/>
      <c r="F3514" s="5"/>
      <c r="G3514" s="5"/>
      <c r="H3514" s="5"/>
      <c r="I3514" s="5"/>
      <c r="J3514" s="5"/>
      <c r="K3514" s="5"/>
      <c r="L3514" s="5"/>
      <c r="M3514" s="5"/>
      <c r="N3514" s="5"/>
      <c r="O3514" s="5"/>
      <c r="P3514" s="5"/>
      <c r="Q3514" s="5"/>
      <c r="R3514" s="5"/>
      <c r="S3514" s="5"/>
      <c r="T3514" s="5"/>
      <c r="U3514" s="5"/>
      <c r="V3514" s="5"/>
      <c r="W3514" s="5"/>
      <c r="X3514" s="5"/>
      <c r="Y3514" s="5"/>
      <c r="Z3514" s="5"/>
    </row>
    <row r="3515" spans="1:26" ht="15.6" x14ac:dyDescent="0.3">
      <c r="A3515" s="18" t="s">
        <v>23</v>
      </c>
      <c r="B3515" s="25" t="s">
        <v>3502</v>
      </c>
      <c r="C3515" s="2" t="str">
        <f ca="1">IFERROR(__xludf.DUMMYFUNCTION("GOOGLETRANSLATE(B3515, ""bn"", ""en"")"),"Forcing the majority of Muslims to follow Hindu rituals in the name of Hindu rights is a serious injustice and unconstitutional practice, it cannot be tolerated.")</f>
        <v>Forcing the majority of Muslims to follow Hindu rituals in the name of Hindu rights is a serious injustice and unconstitutional practice, it cannot be tolerated.</v>
      </c>
      <c r="D3515" s="5"/>
      <c r="E3515" s="5"/>
      <c r="F3515" s="5"/>
      <c r="G3515" s="5"/>
      <c r="H3515" s="5"/>
      <c r="I3515" s="5"/>
      <c r="J3515" s="5"/>
      <c r="K3515" s="5"/>
      <c r="L3515" s="5"/>
      <c r="M3515" s="5"/>
      <c r="N3515" s="5"/>
      <c r="O3515" s="5"/>
      <c r="P3515" s="5"/>
      <c r="Q3515" s="5"/>
      <c r="R3515" s="5"/>
      <c r="S3515" s="5"/>
      <c r="T3515" s="5"/>
      <c r="U3515" s="5"/>
      <c r="V3515" s="5"/>
      <c r="W3515" s="5"/>
      <c r="X3515" s="5"/>
      <c r="Y3515" s="5"/>
      <c r="Z3515" s="5"/>
    </row>
    <row r="3516" spans="1:26" ht="15.6" x14ac:dyDescent="0.3">
      <c r="A3516" s="18" t="s">
        <v>23</v>
      </c>
      <c r="B3516" s="25" t="s">
        <v>3503</v>
      </c>
      <c r="C3516" s="2" t="str">
        <f ca="1">IFERROR(__xludf.DUMMYFUNCTION("GOOGLETRANSLATE(B3516, ""bn"", ""en"")"),"It only happens when people's deeply held beliefs are hurt or they feel their beliefs are being questioned. Then it comes out through anger or violence.")</f>
        <v>It only happens when people's deeply held beliefs are hurt or they feel their beliefs are being questioned. Then it comes out through anger or violence.</v>
      </c>
      <c r="D3516" s="5"/>
      <c r="E3516" s="5"/>
      <c r="F3516" s="5"/>
      <c r="G3516" s="5"/>
      <c r="H3516" s="5"/>
      <c r="I3516" s="5"/>
      <c r="J3516" s="5"/>
      <c r="K3516" s="5"/>
      <c r="L3516" s="5"/>
      <c r="M3516" s="5"/>
      <c r="N3516" s="5"/>
      <c r="O3516" s="5"/>
      <c r="P3516" s="5"/>
      <c r="Q3516" s="5"/>
      <c r="R3516" s="5"/>
      <c r="S3516" s="5"/>
      <c r="T3516" s="5"/>
      <c r="U3516" s="5"/>
      <c r="V3516" s="5"/>
      <c r="W3516" s="5"/>
      <c r="X3516" s="5"/>
      <c r="Y3516" s="5"/>
      <c r="Z3516" s="5"/>
    </row>
    <row r="3517" spans="1:26" ht="15.6" x14ac:dyDescent="0.3">
      <c r="A3517" s="18" t="s">
        <v>3</v>
      </c>
      <c r="B3517" s="25" t="s">
        <v>3504</v>
      </c>
      <c r="C3517" s="2" t="str">
        <f ca="1">IFERROR(__xludf.DUMMYFUNCTION("GOOGLETRANSLATE(B3517, ""bn"", ""en"")"),"Islam does not teach independence from husband.")</f>
        <v>Islam does not teach independence from husband.</v>
      </c>
      <c r="D3517" s="2"/>
      <c r="E3517" s="2"/>
      <c r="F3517" s="2"/>
      <c r="G3517" s="2"/>
      <c r="H3517" s="5"/>
      <c r="I3517" s="5"/>
      <c r="J3517" s="5"/>
      <c r="K3517" s="5"/>
      <c r="L3517" s="5"/>
      <c r="M3517" s="5"/>
      <c r="N3517" s="5"/>
      <c r="O3517" s="5"/>
      <c r="P3517" s="5"/>
      <c r="Q3517" s="5"/>
      <c r="R3517" s="5"/>
      <c r="S3517" s="5"/>
      <c r="T3517" s="5"/>
      <c r="U3517" s="5"/>
      <c r="V3517" s="5"/>
      <c r="W3517" s="5"/>
      <c r="X3517" s="5"/>
      <c r="Y3517" s="5"/>
      <c r="Z3517" s="5"/>
    </row>
    <row r="3518" spans="1:26" ht="15.6" x14ac:dyDescent="0.3">
      <c r="A3518" s="18" t="s">
        <v>8</v>
      </c>
      <c r="B3518" s="25" t="s">
        <v>3505</v>
      </c>
      <c r="C3518" s="2" t="str">
        <f ca="1">IFERROR(__xludf.DUMMYFUNCTION("GOOGLETRANSLATE(B3518, ""bn"", ""en"")"),"Attacks on temples, vandalism of Hindu homes and humiliation of women have become commonplace in this country. If this brutality in the name of religion is not stopped, it will exceed the tolerance of peace loving people.")</f>
        <v>Attacks on temples, vandalism of Hindu homes and humiliation of women have become commonplace in this country. If this brutality in the name of religion is not stopped, it will exceed the tolerance of peace loving people.</v>
      </c>
      <c r="D3518" s="5"/>
      <c r="E3518" s="5"/>
      <c r="F3518" s="5"/>
      <c r="G3518" s="5"/>
      <c r="H3518" s="5"/>
      <c r="I3518" s="5"/>
      <c r="J3518" s="5"/>
      <c r="K3518" s="5"/>
      <c r="L3518" s="5"/>
      <c r="M3518" s="5"/>
      <c r="N3518" s="5"/>
      <c r="O3518" s="5"/>
      <c r="P3518" s="5"/>
      <c r="Q3518" s="5"/>
      <c r="R3518" s="5"/>
      <c r="S3518" s="5"/>
      <c r="T3518" s="5"/>
      <c r="U3518" s="5"/>
      <c r="V3518" s="5"/>
      <c r="W3518" s="5"/>
      <c r="X3518" s="5"/>
      <c r="Y3518" s="5"/>
      <c r="Z3518" s="5"/>
    </row>
    <row r="3519" spans="1:26" ht="15.6" x14ac:dyDescent="0.3">
      <c r="A3519" s="19" t="s">
        <v>8</v>
      </c>
      <c r="B3519" s="26" t="s">
        <v>3506</v>
      </c>
      <c r="C3519" s="2" t="str">
        <f ca="1">IFERROR(__xludf.DUMMYFUNCTION("GOOGLETRANSLATE(B3519, ""bn"", ""en"")"),"On February 15, 2022, idols of Kali and Mahadev were vandalized in a Hindu temple in Barisal's Banaripara.")</f>
        <v>On February 15, 2022, idols of Kali and Mahadev were vandalized in a Hindu temple in Barisal's Banaripara.</v>
      </c>
      <c r="D3519" s="7"/>
      <c r="E3519" s="7"/>
      <c r="F3519" s="7"/>
      <c r="G3519" s="7"/>
      <c r="H3519" s="7"/>
      <c r="I3519" s="5"/>
      <c r="J3519" s="5"/>
      <c r="K3519" s="5"/>
      <c r="L3519" s="5"/>
      <c r="M3519" s="5"/>
      <c r="N3519" s="5"/>
      <c r="O3519" s="5"/>
      <c r="P3519" s="5"/>
      <c r="Q3519" s="5"/>
      <c r="R3519" s="5"/>
      <c r="S3519" s="5"/>
      <c r="T3519" s="5"/>
      <c r="U3519" s="5"/>
      <c r="V3519" s="5"/>
      <c r="W3519" s="5"/>
      <c r="X3519" s="5"/>
      <c r="Y3519" s="5"/>
      <c r="Z3519" s="5"/>
    </row>
    <row r="3520" spans="1:26" ht="15.6" x14ac:dyDescent="0.3">
      <c r="A3520" s="19" t="s">
        <v>3</v>
      </c>
      <c r="B3520" s="26" t="s">
        <v>3507</v>
      </c>
      <c r="C3520" s="2" t="str">
        <f ca="1">IFERROR(__xludf.DUMMYFUNCTION("GOOGLETRANSLATE(B3520, ""bn"", ""en"")"),"The clerical community in Bangladesh generally does not engage in violence over religion, although there are internal disagreements. There are instances of Muslim killings on religious grounds in neighboring countries, some rare cases have also occurred i"&amp;"n Bangladesh.")</f>
        <v>The clerical community in Bangladesh generally does not engage in violence over religion, although there are internal disagreements. There are instances of Muslim killings on religious grounds in neighboring countries, some rare cases have also occurred in Bangladesh.</v>
      </c>
      <c r="D3520" s="7"/>
      <c r="E3520" s="7"/>
      <c r="F3520" s="7"/>
      <c r="G3520" s="7"/>
      <c r="H3520" s="7"/>
      <c r="I3520" s="7"/>
      <c r="J3520" s="7"/>
      <c r="K3520" s="7"/>
      <c r="L3520" s="7"/>
      <c r="M3520" s="7"/>
      <c r="N3520" s="7"/>
      <c r="O3520" s="7"/>
      <c r="P3520" s="7"/>
      <c r="Q3520" s="5"/>
      <c r="R3520" s="5"/>
      <c r="S3520" s="5"/>
      <c r="T3520" s="5"/>
      <c r="U3520" s="5"/>
      <c r="V3520" s="5"/>
      <c r="W3520" s="5"/>
      <c r="X3520" s="5"/>
      <c r="Y3520" s="5"/>
      <c r="Z3520" s="5"/>
    </row>
    <row r="3521" spans="1:26" ht="15.6" x14ac:dyDescent="0.3">
      <c r="A3521" s="18" t="s">
        <v>8</v>
      </c>
      <c r="B3521" s="24" t="s">
        <v>3508</v>
      </c>
      <c r="C3521" s="2" t="str">
        <f ca="1">IFERROR(__xludf.DUMMYFUNCTION("GOOGLETRANSLATE(B3521, ""bn"", ""en"")"),"An attempt was made to set fire to a mosque in Jessore by throwing cocktails, but timely action prevented major damage.")</f>
        <v>An attempt was made to set fire to a mosque in Jessore by throwing cocktails, but timely action prevented major damage.</v>
      </c>
      <c r="D3521" s="5"/>
      <c r="E3521" s="5"/>
      <c r="F3521" s="5"/>
      <c r="G3521" s="5"/>
      <c r="H3521" s="5"/>
      <c r="I3521" s="5"/>
      <c r="J3521" s="5"/>
      <c r="K3521" s="5"/>
      <c r="L3521" s="5"/>
      <c r="M3521" s="5"/>
      <c r="N3521" s="5"/>
      <c r="O3521" s="5"/>
      <c r="P3521" s="5"/>
      <c r="Q3521" s="5"/>
      <c r="R3521" s="5"/>
      <c r="S3521" s="5"/>
      <c r="T3521" s="5"/>
      <c r="U3521" s="5"/>
      <c r="V3521" s="5"/>
      <c r="W3521" s="5"/>
      <c r="X3521" s="5"/>
      <c r="Y3521" s="5"/>
      <c r="Z3521" s="5"/>
    </row>
    <row r="3522" spans="1:26" ht="15.6" x14ac:dyDescent="0.3">
      <c r="A3522" s="18" t="s">
        <v>23</v>
      </c>
      <c r="B3522" s="25" t="s">
        <v>3509</v>
      </c>
      <c r="C3522" s="2" t="str">
        <f ca="1">IFERROR(__xludf.DUMMYFUNCTION("GOOGLETRANSLATE(B3522, ""bn"", ""en"")"),"The constitution of Bangladesh has deliberately erased the culture of Paharis and the existence of non-Muslims, it is the repression of the majority.")</f>
        <v>The constitution of Bangladesh has deliberately erased the culture of Paharis and the existence of non-Muslims, it is the repression of the majority.</v>
      </c>
      <c r="D3522" s="5"/>
      <c r="E3522" s="5"/>
      <c r="F3522" s="5"/>
      <c r="G3522" s="5"/>
      <c r="H3522" s="5"/>
      <c r="I3522" s="5"/>
      <c r="J3522" s="5"/>
      <c r="K3522" s="5"/>
      <c r="L3522" s="5"/>
      <c r="M3522" s="5"/>
      <c r="N3522" s="5"/>
      <c r="O3522" s="5"/>
      <c r="P3522" s="5"/>
      <c r="Q3522" s="5"/>
      <c r="R3522" s="5"/>
      <c r="S3522" s="5"/>
      <c r="T3522" s="5"/>
      <c r="U3522" s="5"/>
      <c r="V3522" s="5"/>
      <c r="W3522" s="5"/>
      <c r="X3522" s="5"/>
      <c r="Y3522" s="5"/>
      <c r="Z3522" s="5"/>
    </row>
    <row r="3523" spans="1:26" ht="15.6" x14ac:dyDescent="0.3">
      <c r="A3523" s="18" t="s">
        <v>3</v>
      </c>
      <c r="B3523" s="25" t="s">
        <v>3510</v>
      </c>
      <c r="C3523" s="2" t="str">
        <f ca="1">IFERROR(__xludf.DUMMYFUNCTION("GOOGLETRANSLATE(B3523, ""bn"", ""en"")"),"You cannot reduce the number of Islam: its number will increase day by day: look around the world:")</f>
        <v>You cannot reduce the number of Islam: its number will increase day by day: look around the world:</v>
      </c>
      <c r="D3523" s="5"/>
      <c r="E3523" s="5"/>
      <c r="F3523" s="5"/>
      <c r="G3523" s="5"/>
      <c r="H3523" s="5"/>
      <c r="I3523" s="5"/>
      <c r="J3523" s="5"/>
      <c r="K3523" s="5"/>
      <c r="L3523" s="5"/>
      <c r="M3523" s="5"/>
      <c r="N3523" s="5"/>
      <c r="O3523" s="5"/>
      <c r="P3523" s="5"/>
      <c r="Q3523" s="5"/>
      <c r="R3523" s="5"/>
      <c r="S3523" s="5"/>
      <c r="T3523" s="5"/>
      <c r="U3523" s="5"/>
      <c r="V3523" s="5"/>
      <c r="W3523" s="5"/>
      <c r="X3523" s="5"/>
      <c r="Y3523" s="5"/>
      <c r="Z3523" s="5"/>
    </row>
    <row r="3524" spans="1:26" ht="15.6" x14ac:dyDescent="0.3">
      <c r="A3524" s="19" t="s">
        <v>8</v>
      </c>
      <c r="B3524" s="26" t="s">
        <v>3511</v>
      </c>
      <c r="C3524" s="2" t="str">
        <f ca="1">IFERROR(__xludf.DUMMYFUNCTION("GOOGLETRANSLATE(B3524, ""bn"", ""en"")"),"Hindus in Madurai and Kanthalakhi areas were also beaten up and subjected to forced conversions. The houses of Baikuntha Roy and Rasbihari Roy of Fulsain village of Golapganj police station were also looted.")</f>
        <v>Hindus in Madurai and Kanthalakhi areas were also beaten up and subjected to forced conversions. The houses of Baikuntha Roy and Rasbihari Roy of Fulsain village of Golapganj police station were also looted.</v>
      </c>
      <c r="D3524" s="5"/>
      <c r="E3524" s="5"/>
      <c r="F3524" s="5"/>
      <c r="G3524" s="5"/>
      <c r="H3524" s="5"/>
      <c r="I3524" s="5"/>
      <c r="J3524" s="5"/>
      <c r="K3524" s="5"/>
      <c r="L3524" s="5"/>
      <c r="M3524" s="5"/>
      <c r="N3524" s="5"/>
      <c r="O3524" s="5"/>
      <c r="P3524" s="5"/>
      <c r="Q3524" s="5"/>
      <c r="R3524" s="5"/>
      <c r="S3524" s="5"/>
      <c r="T3524" s="5"/>
      <c r="U3524" s="5"/>
      <c r="V3524" s="5"/>
      <c r="W3524" s="5"/>
      <c r="X3524" s="5"/>
      <c r="Y3524" s="5"/>
      <c r="Z3524" s="5"/>
    </row>
    <row r="3525" spans="1:26" ht="15.6" x14ac:dyDescent="0.3">
      <c r="A3525" s="18" t="s">
        <v>8</v>
      </c>
      <c r="B3525" s="25" t="s">
        <v>3512</v>
      </c>
      <c r="C3525" s="2" t="str">
        <f ca="1">IFERROR(__xludf.DUMMYFUNCTION("GOOGLETRANSLATE(B3525, ""bn"", ""en"")"),"From the beginning of the 19th century, due to this controversy, there were several conflicts between the Hindu-Muslim community and cases continued to be filed in the courts. Soon after, the government sealed the entire mosque in an attempt to prevent ri"&amp;"ots.")</f>
        <v>From the beginning of the 19th century, due to this controversy, there were several conflicts between the Hindu-Muslim community and cases continued to be filed in the courts. Soon after, the government sealed the entire mosque in an attempt to prevent riots.</v>
      </c>
      <c r="D3525" s="5"/>
      <c r="E3525" s="5"/>
      <c r="F3525" s="5"/>
      <c r="G3525" s="5"/>
      <c r="H3525" s="5"/>
      <c r="I3525" s="5"/>
      <c r="J3525" s="5"/>
      <c r="K3525" s="5"/>
      <c r="L3525" s="5"/>
      <c r="M3525" s="5"/>
      <c r="N3525" s="5"/>
      <c r="O3525" s="5"/>
      <c r="P3525" s="5"/>
      <c r="Q3525" s="5"/>
      <c r="R3525" s="5"/>
      <c r="S3525" s="5"/>
      <c r="T3525" s="5"/>
      <c r="U3525" s="5"/>
      <c r="V3525" s="5"/>
      <c r="W3525" s="5"/>
      <c r="X3525" s="5"/>
      <c r="Y3525" s="5"/>
      <c r="Z3525" s="5"/>
    </row>
    <row r="3526" spans="1:26" ht="15.6" x14ac:dyDescent="0.3">
      <c r="A3526" s="19" t="s">
        <v>8</v>
      </c>
      <c r="B3526" s="26" t="s">
        <v>3513</v>
      </c>
      <c r="C3526" s="2" t="str">
        <f ca="1">IFERROR(__xludf.DUMMYFUNCTION("GOOGLETRANSLATE(B3526, ""bn"", ""en"")"),"From 1990 to 1993, rumors of the destruction of the Babri Masjid in Bangladesh led to anti-Hindu violence by Muslims and attacks on the Dhakeshwari Temple.")</f>
        <v>From 1990 to 1993, rumors of the destruction of the Babri Masjid in Bangladesh led to anti-Hindu violence by Muslims and attacks on the Dhakeshwari Temple.</v>
      </c>
      <c r="D3526" s="7"/>
      <c r="E3526" s="7"/>
      <c r="F3526" s="7"/>
      <c r="G3526" s="7"/>
      <c r="H3526" s="7"/>
      <c r="I3526" s="7"/>
      <c r="J3526" s="7"/>
      <c r="K3526" s="5"/>
      <c r="L3526" s="5"/>
      <c r="M3526" s="5"/>
      <c r="N3526" s="5"/>
      <c r="O3526" s="5"/>
      <c r="P3526" s="5"/>
      <c r="Q3526" s="5"/>
      <c r="R3526" s="5"/>
      <c r="S3526" s="5"/>
      <c r="T3526" s="5"/>
      <c r="U3526" s="5"/>
      <c r="V3526" s="5"/>
      <c r="W3526" s="5"/>
      <c r="X3526" s="5"/>
      <c r="Y3526" s="5"/>
      <c r="Z3526" s="5"/>
    </row>
    <row r="3527" spans="1:26" ht="15.6" x14ac:dyDescent="0.3">
      <c r="A3527" s="19" t="s">
        <v>23</v>
      </c>
      <c r="B3527" s="26" t="s">
        <v>3514</v>
      </c>
      <c r="C3527" s="2" t="str">
        <f ca="1">IFERROR(__xludf.DUMMYFUNCTION("GOOGLETRANSLATE(B3527, ""bn"", ""en"")"),"Muslim major countries are silent and playing the role of impotent governments.")</f>
        <v>Muslim major countries are silent and playing the role of impotent governments.</v>
      </c>
      <c r="D3527" s="7"/>
      <c r="E3527" s="5"/>
      <c r="F3527" s="5"/>
      <c r="G3527" s="5"/>
      <c r="H3527" s="5"/>
      <c r="I3527" s="5"/>
      <c r="J3527" s="5"/>
      <c r="K3527" s="5"/>
      <c r="L3527" s="5"/>
      <c r="M3527" s="5"/>
      <c r="N3527" s="5"/>
      <c r="O3527" s="5"/>
      <c r="P3527" s="5"/>
      <c r="Q3527" s="5"/>
      <c r="R3527" s="5"/>
      <c r="S3527" s="5"/>
      <c r="T3527" s="5"/>
      <c r="U3527" s="5"/>
      <c r="V3527" s="5"/>
      <c r="W3527" s="5"/>
      <c r="X3527" s="5"/>
      <c r="Y3527" s="5"/>
      <c r="Z3527" s="5"/>
    </row>
    <row r="3528" spans="1:26" ht="15.6" x14ac:dyDescent="0.3">
      <c r="A3528" s="19" t="s">
        <v>23</v>
      </c>
      <c r="B3528" s="26" t="s">
        <v>3515</v>
      </c>
      <c r="C3528" s="2" t="str">
        <f ca="1">IFERROR(__xludf.DUMMYFUNCTION("GOOGLETRANSLATE(B3528, ""bn"", ""en"")"),"A group burnt the Quran and chanted anti-Islamic slogans and shared the issue on social media.")</f>
        <v>A group burnt the Quran and chanted anti-Islamic slogans and shared the issue on social media.</v>
      </c>
      <c r="D3528" s="7"/>
      <c r="E3528" s="7"/>
      <c r="F3528" s="7"/>
      <c r="G3528" s="7"/>
      <c r="H3528" s="5"/>
      <c r="I3528" s="5"/>
      <c r="J3528" s="5"/>
      <c r="K3528" s="5"/>
      <c r="L3528" s="5"/>
      <c r="M3528" s="5"/>
      <c r="N3528" s="5"/>
      <c r="O3528" s="5"/>
      <c r="P3528" s="5"/>
      <c r="Q3528" s="5"/>
      <c r="R3528" s="5"/>
      <c r="S3528" s="5"/>
      <c r="T3528" s="5"/>
      <c r="U3528" s="5"/>
      <c r="V3528" s="5"/>
      <c r="W3528" s="5"/>
      <c r="X3528" s="5"/>
      <c r="Y3528" s="5"/>
      <c r="Z3528" s="5"/>
    </row>
    <row r="3529" spans="1:26" ht="15.6" x14ac:dyDescent="0.3">
      <c r="A3529" s="18" t="s">
        <v>3</v>
      </c>
      <c r="B3529" s="25" t="s">
        <v>3516</v>
      </c>
      <c r="C3529" s="2" t="str">
        <f ca="1">IFERROR(__xludf.DUMMYFUNCTION("GOOGLETRANSLATE(B3529, ""bn"", ""en"")"),"I don't want to go into the argument whether singing is halal or haram. But staying on the path of religion, worshiping the Lord - is definitely better than any worldly work.")</f>
        <v>I don't want to go into the argument whether singing is halal or haram. But staying on the path of religion, worshiping the Lord - is definitely better than any worldly work.</v>
      </c>
      <c r="D3529" s="2"/>
      <c r="E3529" s="2"/>
      <c r="F3529" s="2"/>
      <c r="G3529" s="2"/>
      <c r="H3529" s="3"/>
      <c r="I3529" s="3"/>
      <c r="J3529" s="3"/>
      <c r="K3529" s="3"/>
      <c r="L3529" s="3"/>
      <c r="M3529" s="3"/>
      <c r="N3529" s="3"/>
      <c r="O3529" s="3"/>
      <c r="P3529" s="3"/>
      <c r="Q3529" s="3"/>
      <c r="R3529" s="3"/>
      <c r="S3529" s="3"/>
      <c r="T3529" s="3"/>
      <c r="U3529" s="3"/>
      <c r="V3529" s="3"/>
      <c r="W3529" s="3"/>
      <c r="X3529" s="3"/>
      <c r="Y3529" s="3"/>
      <c r="Z3529" s="3"/>
    </row>
    <row r="3530" spans="1:26" ht="15.6" x14ac:dyDescent="0.3">
      <c r="A3530" s="19" t="s">
        <v>3</v>
      </c>
      <c r="B3530" s="26" t="s">
        <v>3517</v>
      </c>
      <c r="C3530" s="2" t="str">
        <f ca="1">IFERROR(__xludf.DUMMYFUNCTION("GOOGLETRANSLATE(B3530, ""bn"", ""en"")"),"The Qur'an primarily addresses a single ""Messenger of God"", referred to as Muhammad in several verses.")</f>
        <v>The Qur'an primarily addresses a single "Messenger of God", referred to as Muhammad in several verses.</v>
      </c>
      <c r="D3530" s="5"/>
      <c r="E3530" s="5"/>
      <c r="F3530" s="5"/>
      <c r="G3530" s="5"/>
      <c r="H3530" s="5"/>
      <c r="I3530" s="5"/>
      <c r="J3530" s="5"/>
      <c r="K3530" s="5"/>
      <c r="L3530" s="5"/>
      <c r="M3530" s="5"/>
      <c r="N3530" s="5"/>
      <c r="O3530" s="5"/>
      <c r="P3530" s="5"/>
      <c r="Q3530" s="5"/>
      <c r="R3530" s="5"/>
      <c r="S3530" s="5"/>
      <c r="T3530" s="5"/>
      <c r="U3530" s="5"/>
      <c r="V3530" s="5"/>
      <c r="W3530" s="5"/>
      <c r="X3530" s="5"/>
      <c r="Y3530" s="5"/>
      <c r="Z3530" s="5"/>
    </row>
    <row r="3531" spans="1:26" ht="15.6" x14ac:dyDescent="0.3">
      <c r="A3531" s="18" t="s">
        <v>5</v>
      </c>
      <c r="B3531" s="25" t="s">
        <v>3518</v>
      </c>
      <c r="C3531" s="2" t="str">
        <f ca="1">IFERROR(__xludf.DUMMYFUNCTION("GOOGLETRANSLATE(B3531, ""bn"", ""en"")"),"In the city, religious extremists attacked a bus and shot dead 28 Christians, some of whom were raped and then committed suicide or brutally died.")</f>
        <v>In the city, religious extremists attacked a bus and shot dead 28 Christians, some of whom were raped and then committed suicide or brutally died.</v>
      </c>
      <c r="D3531" s="5"/>
      <c r="E3531" s="5"/>
      <c r="F3531" s="5"/>
      <c r="G3531" s="5"/>
      <c r="H3531" s="5"/>
      <c r="I3531" s="5"/>
      <c r="J3531" s="5"/>
      <c r="K3531" s="5"/>
      <c r="L3531" s="5"/>
      <c r="M3531" s="5"/>
      <c r="N3531" s="5"/>
      <c r="O3531" s="5"/>
      <c r="P3531" s="5"/>
      <c r="Q3531" s="5"/>
      <c r="R3531" s="5"/>
      <c r="S3531" s="5"/>
      <c r="T3531" s="5"/>
      <c r="U3531" s="5"/>
      <c r="V3531" s="5"/>
      <c r="W3531" s="5"/>
      <c r="X3531" s="5"/>
      <c r="Y3531" s="5"/>
      <c r="Z3531" s="5"/>
    </row>
    <row r="3532" spans="1:26" ht="15.6" x14ac:dyDescent="0.3">
      <c r="A3532" s="19" t="s">
        <v>5</v>
      </c>
      <c r="B3532" s="26" t="s">
        <v>3519</v>
      </c>
      <c r="C3532" s="2" t="str">
        <f ca="1">IFERROR(__xludf.DUMMYFUNCTION("GOOGLETRANSLATE(B3532, ""bn"", ""en"")"),"Jauhar was originally a self-chosen death for noble women defeated in battle and was practiced especially among warrior Rajputs.")</f>
        <v>Jauhar was originally a self-chosen death for noble women defeated in battle and was practiced especially among warrior Rajputs.</v>
      </c>
      <c r="D3532" s="5"/>
      <c r="E3532" s="5"/>
      <c r="F3532" s="5"/>
      <c r="G3532" s="5"/>
      <c r="H3532" s="5"/>
      <c r="I3532" s="5"/>
      <c r="J3532" s="5"/>
      <c r="K3532" s="5"/>
      <c r="L3532" s="5"/>
      <c r="M3532" s="5"/>
      <c r="N3532" s="5"/>
      <c r="O3532" s="5"/>
      <c r="P3532" s="5"/>
      <c r="Q3532" s="5"/>
      <c r="R3532" s="5"/>
      <c r="S3532" s="5"/>
      <c r="T3532" s="5"/>
      <c r="U3532" s="5"/>
      <c r="V3532" s="5"/>
      <c r="W3532" s="5"/>
      <c r="X3532" s="5"/>
      <c r="Y3532" s="5"/>
      <c r="Z3532" s="5"/>
    </row>
    <row r="3533" spans="1:26" ht="15.6" x14ac:dyDescent="0.3">
      <c r="A3533" s="18" t="s">
        <v>5</v>
      </c>
      <c r="B3533" s="24" t="s">
        <v>3520</v>
      </c>
      <c r="C3533" s="2" t="str">
        <f ca="1">IFERROR(__xludf.DUMMYFUNCTION("GOOGLETRANSLATE(B3533, ""bn"", ""en"")"),"40 people were killed during the clash in Keraniganj. The police resorted to lathicharge to bring the situation under control, but the crowd resisted them. Many families fled.")</f>
        <v>40 people were killed during the clash in Keraniganj. The police resorted to lathicharge to bring the situation under control, but the crowd resisted them. Many families fled.</v>
      </c>
      <c r="D3533" s="5"/>
      <c r="E3533" s="5"/>
      <c r="F3533" s="5"/>
      <c r="G3533" s="5"/>
      <c r="H3533" s="5"/>
      <c r="I3533" s="5"/>
      <c r="J3533" s="5"/>
      <c r="K3533" s="5"/>
      <c r="L3533" s="5"/>
      <c r="M3533" s="5"/>
      <c r="N3533" s="5"/>
      <c r="O3533" s="5"/>
      <c r="P3533" s="5"/>
      <c r="Q3533" s="5"/>
      <c r="R3533" s="5"/>
      <c r="S3533" s="5"/>
      <c r="T3533" s="5"/>
      <c r="U3533" s="5"/>
      <c r="V3533" s="5"/>
      <c r="W3533" s="5"/>
      <c r="X3533" s="5"/>
      <c r="Y3533" s="5"/>
      <c r="Z3533" s="5"/>
    </row>
    <row r="3534" spans="1:26" ht="15.6" x14ac:dyDescent="0.3">
      <c r="A3534" s="18" t="s">
        <v>5</v>
      </c>
      <c r="B3534" s="24" t="s">
        <v>3521</v>
      </c>
      <c r="C3534" s="2" t="str">
        <f ca="1">IFERROR(__xludf.DUMMYFUNCTION("GOOGLETRANSLATE(B3534, ""bn"", ""en"")"),"42 people lost their lives in religious riots in Chandpur. As police failed to quell the violence, the government called for calm. Many families leave the village for safety.")</f>
        <v>42 people lost their lives in religious riots in Chandpur. As police failed to quell the violence, the government called for calm. Many families leave the village for safety.</v>
      </c>
      <c r="D3534" s="5"/>
      <c r="E3534" s="5"/>
      <c r="F3534" s="5"/>
      <c r="G3534" s="5"/>
      <c r="H3534" s="5"/>
      <c r="I3534" s="5"/>
      <c r="J3534" s="5"/>
      <c r="K3534" s="5"/>
      <c r="L3534" s="5"/>
      <c r="M3534" s="5"/>
      <c r="N3534" s="5"/>
      <c r="O3534" s="5"/>
      <c r="P3534" s="5"/>
      <c r="Q3534" s="5"/>
      <c r="R3534" s="5"/>
      <c r="S3534" s="5"/>
      <c r="T3534" s="5"/>
      <c r="U3534" s="5"/>
      <c r="V3534" s="5"/>
      <c r="W3534" s="5"/>
      <c r="X3534" s="5"/>
      <c r="Y3534" s="5"/>
      <c r="Z3534" s="5"/>
    </row>
    <row r="3535" spans="1:26" ht="15.6" x14ac:dyDescent="0.3">
      <c r="A3535" s="19" t="s">
        <v>3</v>
      </c>
      <c r="B3535" s="26" t="s">
        <v>3522</v>
      </c>
      <c r="C3535" s="2" t="str">
        <f ca="1">IFERROR(__xludf.DUMMYFUNCTION("GOOGLETRANSLATE(B3535, ""bn"", ""en"")"),"After the powerful rule of the Gupta Empire, under the influence of Hinduism, local kings converted from Buddhism to Hinduism and formed alliances with Brahmins.")</f>
        <v>After the powerful rule of the Gupta Empire, under the influence of Hinduism, local kings converted from Buddhism to Hinduism and formed alliances with Brahmins.</v>
      </c>
      <c r="D3535" s="7"/>
      <c r="E3535" s="7"/>
      <c r="F3535" s="7"/>
      <c r="G3535" s="7"/>
      <c r="H3535" s="7"/>
      <c r="I3535" s="7"/>
      <c r="J3535" s="7"/>
      <c r="K3535" s="7"/>
      <c r="L3535" s="5"/>
      <c r="M3535" s="5"/>
      <c r="N3535" s="5"/>
      <c r="O3535" s="5"/>
      <c r="P3535" s="5"/>
      <c r="Q3535" s="5"/>
      <c r="R3535" s="5"/>
      <c r="S3535" s="5"/>
      <c r="T3535" s="5"/>
      <c r="U3535" s="5"/>
      <c r="V3535" s="5"/>
      <c r="W3535" s="5"/>
      <c r="X3535" s="5"/>
      <c r="Y3535" s="5"/>
      <c r="Z3535" s="5"/>
    </row>
    <row r="3536" spans="1:26" ht="15.6" x14ac:dyDescent="0.3">
      <c r="A3536" s="18" t="s">
        <v>5</v>
      </c>
      <c r="B3536" s="24" t="s">
        <v>3523</v>
      </c>
      <c r="C3536" s="2" t="str">
        <f ca="1">IFERROR(__xludf.DUMMYFUNCTION("GOOGLETRANSLATE(B3536, ""bn"", ""en"")"),"In November 2014, a gas cylinder exploded in a mosque due to religious disputes, killing 35 people and injuring hundreds.")</f>
        <v>In November 2014, a gas cylinder exploded in a mosque due to religious disputes, killing 35 people and injuring hundreds.</v>
      </c>
      <c r="D3536" s="5"/>
      <c r="E3536" s="5"/>
      <c r="F3536" s="5"/>
      <c r="G3536" s="5"/>
      <c r="H3536" s="5"/>
      <c r="I3536" s="5"/>
      <c r="J3536" s="5"/>
      <c r="K3536" s="5"/>
      <c r="L3536" s="5"/>
      <c r="M3536" s="5"/>
      <c r="N3536" s="5"/>
      <c r="O3536" s="5"/>
      <c r="P3536" s="5"/>
      <c r="Q3536" s="5"/>
      <c r="R3536" s="5"/>
      <c r="S3536" s="5"/>
      <c r="T3536" s="5"/>
      <c r="U3536" s="5"/>
      <c r="V3536" s="5"/>
      <c r="W3536" s="5"/>
      <c r="X3536" s="5"/>
      <c r="Y3536" s="5"/>
      <c r="Z3536" s="5"/>
    </row>
    <row r="3537" spans="1:26" ht="15.6" x14ac:dyDescent="0.3">
      <c r="A3537" s="18" t="s">
        <v>23</v>
      </c>
      <c r="B3537" s="25" t="s">
        <v>3524</v>
      </c>
      <c r="C3537" s="2" t="str">
        <f ca="1">IFERROR(__xludf.DUMMYFUNCTION("GOOGLETRANSLATE(B3537, ""bn"", ""en"")"),"Desecration of any scripture is very bad.")</f>
        <v>Desecration of any scripture is very bad.</v>
      </c>
      <c r="D3537" s="5"/>
      <c r="E3537" s="5"/>
      <c r="F3537" s="5"/>
      <c r="G3537" s="5"/>
      <c r="H3537" s="5"/>
      <c r="I3537" s="5"/>
      <c r="J3537" s="5"/>
      <c r="K3537" s="5"/>
      <c r="L3537" s="5"/>
      <c r="M3537" s="5"/>
      <c r="N3537" s="5"/>
      <c r="O3537" s="5"/>
      <c r="P3537" s="5"/>
      <c r="Q3537" s="5"/>
      <c r="R3537" s="5"/>
      <c r="S3537" s="5"/>
      <c r="T3537" s="5"/>
      <c r="U3537" s="5"/>
      <c r="V3537" s="5"/>
      <c r="W3537" s="5"/>
      <c r="X3537" s="5"/>
      <c r="Y3537" s="5"/>
      <c r="Z3537" s="5"/>
    </row>
    <row r="3538" spans="1:26" ht="15.6" x14ac:dyDescent="0.3">
      <c r="A3538" s="19" t="s">
        <v>23</v>
      </c>
      <c r="B3538" s="26" t="s">
        <v>3525</v>
      </c>
      <c r="C3538" s="2" t="str">
        <f ca="1">IFERROR(__xludf.DUMMYFUNCTION("GOOGLETRANSLATE(B3538, ""bn"", ""en"")"),"May Allah Ta'ala protect all our Muslim brothers and sisters and also guide us to the right path, Ameen. And also those who burned the Quran, may Allah destroy them, Ameen.")</f>
        <v>May Allah Ta'ala protect all our Muslim brothers and sisters and also guide us to the right path, Ameen. And also those who burned the Quran, may Allah destroy them, Ameen.</v>
      </c>
      <c r="D3538" s="5"/>
      <c r="E3538" s="5"/>
      <c r="F3538" s="5"/>
      <c r="G3538" s="5"/>
      <c r="H3538" s="5"/>
      <c r="I3538" s="5"/>
      <c r="J3538" s="5"/>
      <c r="K3538" s="5"/>
      <c r="L3538" s="5"/>
      <c r="M3538" s="5"/>
      <c r="N3538" s="5"/>
      <c r="O3538" s="5"/>
      <c r="P3538" s="5"/>
      <c r="Q3538" s="5"/>
      <c r="R3538" s="5"/>
      <c r="S3538" s="5"/>
      <c r="T3538" s="5"/>
      <c r="U3538" s="5"/>
      <c r="V3538" s="5"/>
      <c r="W3538" s="5"/>
      <c r="X3538" s="5"/>
      <c r="Y3538" s="5"/>
      <c r="Z3538" s="5"/>
    </row>
    <row r="3539" spans="1:26" ht="15.6" x14ac:dyDescent="0.3">
      <c r="A3539" s="18" t="s">
        <v>3</v>
      </c>
      <c r="B3539" s="25" t="s">
        <v>3526</v>
      </c>
      <c r="C3539" s="2" t="str">
        <f ca="1">IFERROR(__xludf.DUMMYFUNCTION("GOOGLETRANSLATE(B3539, ""bn"", ""en"")"),"People propagated different religions in different places because the founders of different religions were isolated and did not know that other religions were created elsewhere. Or even if they knew, they would want to modify the rules to fit their social"&amp;" values.")</f>
        <v>People propagated different religions in different places because the founders of different religions were isolated and did not know that other religions were created elsewhere. Or even if they knew, they would want to modify the rules to fit their social values.</v>
      </c>
      <c r="D3539" s="5"/>
      <c r="E3539" s="5"/>
      <c r="F3539" s="5"/>
      <c r="G3539" s="5"/>
      <c r="H3539" s="5"/>
      <c r="I3539" s="5"/>
      <c r="J3539" s="5"/>
      <c r="K3539" s="5"/>
      <c r="L3539" s="5"/>
      <c r="M3539" s="5"/>
      <c r="N3539" s="5"/>
      <c r="O3539" s="5"/>
      <c r="P3539" s="5"/>
      <c r="Q3539" s="5"/>
      <c r="R3539" s="5"/>
      <c r="S3539" s="5"/>
      <c r="T3539" s="5"/>
      <c r="U3539" s="5"/>
      <c r="V3539" s="5"/>
      <c r="W3539" s="5"/>
      <c r="X3539" s="5"/>
      <c r="Y3539" s="5"/>
      <c r="Z3539" s="5"/>
    </row>
    <row r="3540" spans="1:26" ht="15.6" x14ac:dyDescent="0.3">
      <c r="A3540" s="19" t="s">
        <v>23</v>
      </c>
      <c r="B3540" s="26" t="s">
        <v>3527</v>
      </c>
      <c r="C3540" s="2" t="str">
        <f ca="1">IFERROR(__xludf.DUMMYFUNCTION("GOOGLETRANSLATE(B3540, ""bn"", ""en"")"),"More than 200 people were killed in multiple terrorist attacks in Bangladesh in the last five years. The domestic hardline parties are putting pressure on the president.")</f>
        <v>More than 200 people were killed in multiple terrorist attacks in Bangladesh in the last five years. The domestic hardline parties are putting pressure on the president.</v>
      </c>
      <c r="D3540" s="7"/>
      <c r="E3540" s="7"/>
      <c r="F3540" s="7"/>
      <c r="G3540" s="7"/>
      <c r="H3540" s="7"/>
      <c r="I3540" s="7"/>
      <c r="J3540" s="7"/>
      <c r="K3540" s="5"/>
      <c r="L3540" s="5"/>
      <c r="M3540" s="5"/>
      <c r="N3540" s="5"/>
      <c r="O3540" s="5"/>
      <c r="P3540" s="5"/>
      <c r="Q3540" s="5"/>
      <c r="R3540" s="5"/>
      <c r="S3540" s="5"/>
      <c r="T3540" s="5"/>
      <c r="U3540" s="5"/>
      <c r="V3540" s="5"/>
      <c r="W3540" s="5"/>
      <c r="X3540" s="5"/>
      <c r="Y3540" s="5"/>
      <c r="Z3540" s="5"/>
    </row>
    <row r="3541" spans="1:26" ht="15.6" x14ac:dyDescent="0.3">
      <c r="A3541" s="18" t="s">
        <v>5</v>
      </c>
      <c r="B3541" s="25" t="s">
        <v>3528</v>
      </c>
      <c r="C3541" s="2" t="str">
        <f ca="1">IFERROR(__xludf.DUMMYFUNCTION("GOOGLETRANSLATE(B3541, ""bn"", ""en"")"),"120,000 Muslims were killed in Bosnia in World War II")</f>
        <v>120,000 Muslims were killed in Bosnia in World War II</v>
      </c>
      <c r="D3541" s="7"/>
      <c r="E3541" s="7"/>
      <c r="F3541" s="7"/>
      <c r="G3541" s="7"/>
      <c r="H3541" s="5"/>
      <c r="I3541" s="5"/>
      <c r="J3541" s="5"/>
      <c r="K3541" s="5"/>
      <c r="L3541" s="5"/>
      <c r="M3541" s="5"/>
      <c r="N3541" s="5"/>
      <c r="O3541" s="5"/>
      <c r="P3541" s="5"/>
      <c r="Q3541" s="5"/>
      <c r="R3541" s="5"/>
      <c r="S3541" s="5"/>
      <c r="T3541" s="5"/>
      <c r="U3541" s="5"/>
      <c r="V3541" s="5"/>
      <c r="W3541" s="5"/>
      <c r="X3541" s="5"/>
      <c r="Y3541" s="5"/>
      <c r="Z3541" s="5"/>
    </row>
    <row r="3542" spans="1:26" ht="15.6" x14ac:dyDescent="0.3">
      <c r="A3542" s="18" t="s">
        <v>5</v>
      </c>
      <c r="B3542" s="24" t="s">
        <v>3529</v>
      </c>
      <c r="C3542" s="2" t="str">
        <f ca="1">IFERROR(__xludf.DUMMYFUNCTION("GOOGLETRANSLATE(B3542, ""bn"", ""en"")"),"A young man is killed trying to save his sister from a religious group, because she assisted in apostasy; Another 12 people lost their lives during the incident.")</f>
        <v>A young man is killed trying to save his sister from a religious group, because she assisted in apostasy; Another 12 people lost their lives during the incident.</v>
      </c>
      <c r="D3542" s="5"/>
      <c r="E3542" s="5"/>
      <c r="F3542" s="5"/>
      <c r="G3542" s="5"/>
      <c r="H3542" s="5"/>
      <c r="I3542" s="5"/>
      <c r="J3542" s="5"/>
      <c r="K3542" s="5"/>
      <c r="L3542" s="5"/>
      <c r="M3542" s="5"/>
      <c r="N3542" s="5"/>
      <c r="O3542" s="5"/>
      <c r="P3542" s="5"/>
      <c r="Q3542" s="5"/>
      <c r="R3542" s="5"/>
      <c r="S3542" s="5"/>
      <c r="T3542" s="5"/>
      <c r="U3542" s="5"/>
      <c r="V3542" s="5"/>
      <c r="W3542" s="5"/>
      <c r="X3542" s="5"/>
      <c r="Y3542" s="5"/>
      <c r="Z3542" s="5"/>
    </row>
    <row r="3543" spans="1:26" ht="15.6" x14ac:dyDescent="0.3">
      <c r="A3543" s="18" t="s">
        <v>3</v>
      </c>
      <c r="B3543" s="25" t="s">
        <v>3530</v>
      </c>
      <c r="C3543" s="2" t="str">
        <f ca="1">IFERROR(__xludf.DUMMYFUNCTION("GOOGLETRANSLATE(B3543, ""bn"", ""en"")"),"The Abwa campaign or Ghazwaye Abwa[1] took place in the month of Safar 2 Hijri (August 623 AD).[2] Muhammad led an army of 70 men in this campaign. He led this expedition to intercept the Quraish caravan.")</f>
        <v>The Abwa campaign or Ghazwaye Abwa[1] took place in the month of Safar 2 Hijri (August 623 AD).[2] Muhammad led an army of 70 men in this campaign. He led this expedition to intercept the Quraish caravan.</v>
      </c>
      <c r="D3543" s="7"/>
      <c r="E3543" s="7"/>
      <c r="F3543" s="7"/>
      <c r="G3543" s="7"/>
      <c r="H3543" s="7"/>
      <c r="I3543" s="7"/>
      <c r="J3543" s="7"/>
      <c r="K3543" s="7"/>
      <c r="L3543" s="7"/>
      <c r="M3543" s="7"/>
      <c r="N3543" s="7"/>
      <c r="O3543" s="7"/>
      <c r="P3543" s="7"/>
      <c r="Q3543" s="5"/>
      <c r="R3543" s="5"/>
      <c r="S3543" s="5"/>
      <c r="T3543" s="5"/>
      <c r="U3543" s="5"/>
      <c r="V3543" s="5"/>
      <c r="W3543" s="5"/>
      <c r="X3543" s="5"/>
      <c r="Y3543" s="5"/>
      <c r="Z3543" s="5"/>
    </row>
    <row r="3544" spans="1:26" ht="15.6" x14ac:dyDescent="0.3">
      <c r="A3544" s="19" t="s">
        <v>23</v>
      </c>
      <c r="B3544" s="26" t="s">
        <v>3531</v>
      </c>
      <c r="C3544" s="2" t="str">
        <f ca="1">IFERROR(__xludf.DUMMYFUNCTION("GOOGLETRANSLATE(B3544, ""bn"", ""en"")"),"A suicidal person causes grief and loss not only to himself, but also to his family, relatives and friends. According to Islam, suicide is a grave sin and its punishment is severe.")</f>
        <v>A suicidal person causes grief and loss not only to himself, but also to his family, relatives and friends. According to Islam, suicide is a grave sin and its punishment is severe.</v>
      </c>
      <c r="D3544" s="7"/>
      <c r="E3544" s="7"/>
      <c r="F3544" s="7"/>
      <c r="G3544" s="7"/>
      <c r="H3544" s="7"/>
      <c r="I3544" s="7"/>
      <c r="J3544" s="7"/>
      <c r="K3544" s="7"/>
      <c r="L3544" s="7"/>
      <c r="M3544" s="7"/>
      <c r="N3544" s="7"/>
      <c r="O3544" s="5"/>
      <c r="P3544" s="5"/>
      <c r="Q3544" s="5"/>
      <c r="R3544" s="5"/>
      <c r="S3544" s="5"/>
      <c r="T3544" s="5"/>
      <c r="U3544" s="5"/>
      <c r="V3544" s="5"/>
      <c r="W3544" s="5"/>
      <c r="X3544" s="5"/>
      <c r="Y3544" s="5"/>
      <c r="Z3544" s="5"/>
    </row>
    <row r="3545" spans="1:26" ht="15.6" x14ac:dyDescent="0.3">
      <c r="A3545" s="18" t="s">
        <v>5</v>
      </c>
      <c r="B3545" s="24" t="s">
        <v>3532</v>
      </c>
      <c r="C3545" s="2" t="str">
        <f ca="1">IFERROR(__xludf.DUMMYFUNCTION("GOOGLETRANSLATE(B3545, ""bn"", ""en"")"),"At least 39 people were killed in an attack on a minority community in a religious conflict in Tangail. The attackers looted and set fire to their property.")</f>
        <v>At least 39 people were killed in an attack on a minority community in a religious conflict in Tangail. The attackers looted and set fire to their property.</v>
      </c>
      <c r="D3545" s="5"/>
      <c r="E3545" s="5"/>
      <c r="F3545" s="5"/>
      <c r="G3545" s="5"/>
      <c r="H3545" s="5"/>
      <c r="I3545" s="5"/>
      <c r="J3545" s="5"/>
      <c r="K3545" s="5"/>
      <c r="L3545" s="5"/>
      <c r="M3545" s="5"/>
      <c r="N3545" s="5"/>
      <c r="O3545" s="5"/>
      <c r="P3545" s="5"/>
      <c r="Q3545" s="5"/>
      <c r="R3545" s="5"/>
      <c r="S3545" s="5"/>
      <c r="T3545" s="5"/>
      <c r="U3545" s="5"/>
      <c r="V3545" s="5"/>
      <c r="W3545" s="5"/>
      <c r="X3545" s="5"/>
      <c r="Y3545" s="5"/>
      <c r="Z3545" s="5"/>
    </row>
    <row r="3546" spans="1:26" ht="15.6" x14ac:dyDescent="0.3">
      <c r="A3546" s="19" t="s">
        <v>23</v>
      </c>
      <c r="B3546" s="26" t="s">
        <v>3533</v>
      </c>
      <c r="C3546" s="2" t="str">
        <f ca="1">IFERROR(__xludf.DUMMYFUNCTION("GOOGLETRANSLATE(B3546, ""bn"", ""en"")"),"If some countries criticize that Bangladesh is not a Hindu state, Bangladesh cannot say that. It is difficult to criticize the Prime Minister of the country because of his personal problems.")</f>
        <v>If some countries criticize that Bangladesh is not a Hindu state, Bangladesh cannot say that. It is difficult to criticize the Prime Minister of the country because of his personal problems.</v>
      </c>
      <c r="D3546" s="7"/>
      <c r="E3546" s="7"/>
      <c r="F3546" s="7"/>
      <c r="G3546" s="7"/>
      <c r="H3546" s="7"/>
      <c r="I3546" s="7"/>
      <c r="J3546" s="7"/>
      <c r="K3546" s="7"/>
      <c r="L3546" s="7"/>
      <c r="M3546" s="5"/>
      <c r="N3546" s="5"/>
      <c r="O3546" s="5"/>
      <c r="P3546" s="5"/>
      <c r="Q3546" s="5"/>
      <c r="R3546" s="5"/>
      <c r="S3546" s="5"/>
      <c r="T3546" s="5"/>
      <c r="U3546" s="5"/>
      <c r="V3546" s="5"/>
      <c r="W3546" s="5"/>
      <c r="X3546" s="5"/>
      <c r="Y3546" s="5"/>
      <c r="Z3546" s="5"/>
    </row>
    <row r="3547" spans="1:26" ht="15.6" x14ac:dyDescent="0.3">
      <c r="A3547" s="19" t="s">
        <v>5</v>
      </c>
      <c r="B3547" s="26" t="s">
        <v>3534</v>
      </c>
      <c r="C3547" s="2" t="str">
        <f ca="1">IFERROR(__xludf.DUMMYFUNCTION("GOOGLETRANSLATE(B3547, ""bn"", ""en"")"),"Notably, a family of eight Dabgar Hindus were burnt alive and the fire brigade was prevented from extinguishing the fire.[1] Hindus looted and burnt shops owned by Muslims.")</f>
        <v>Notably, a family of eight Dabgar Hindus were burnt alive and the fire brigade was prevented from extinguishing the fire.[1] Hindus looted and burnt shops owned by Muslims.</v>
      </c>
      <c r="D3547" s="7"/>
      <c r="E3547" s="7"/>
      <c r="F3547" s="7"/>
      <c r="G3547" s="5"/>
      <c r="H3547" s="5"/>
      <c r="I3547" s="5"/>
      <c r="J3547" s="5"/>
      <c r="K3547" s="5"/>
      <c r="L3547" s="5"/>
      <c r="M3547" s="5"/>
      <c r="N3547" s="5"/>
      <c r="O3547" s="5"/>
      <c r="P3547" s="5"/>
      <c r="Q3547" s="5"/>
      <c r="R3547" s="5"/>
      <c r="S3547" s="5"/>
      <c r="T3547" s="5"/>
      <c r="U3547" s="5"/>
      <c r="V3547" s="5"/>
      <c r="W3547" s="5"/>
      <c r="X3547" s="5"/>
      <c r="Y3547" s="5"/>
      <c r="Z3547" s="5"/>
    </row>
    <row r="3548" spans="1:26" ht="15.6" x14ac:dyDescent="0.3">
      <c r="A3548" s="19" t="s">
        <v>3</v>
      </c>
      <c r="B3548" s="26" t="s">
        <v>3535</v>
      </c>
      <c r="C3548" s="2" t="str">
        <f ca="1">IFERROR(__xludf.DUMMYFUNCTION("GOOGLETRANSLATE(B3548, ""bn"", ""en"")"),"School students from minority religious groups usually receive religious education outside of school at local churches or temples.")</f>
        <v>School students from minority religious groups usually receive religious education outside of school at local churches or temples.</v>
      </c>
      <c r="D3548" s="7"/>
      <c r="E3548" s="7"/>
      <c r="F3548" s="7"/>
      <c r="G3548" s="7"/>
      <c r="H3548" s="5"/>
      <c r="I3548" s="5"/>
      <c r="J3548" s="5"/>
      <c r="K3548" s="5"/>
      <c r="L3548" s="5"/>
      <c r="M3548" s="5"/>
      <c r="N3548" s="5"/>
      <c r="O3548" s="5"/>
      <c r="P3548" s="5"/>
      <c r="Q3548" s="5"/>
      <c r="R3548" s="5"/>
      <c r="S3548" s="5"/>
      <c r="T3548" s="5"/>
      <c r="U3548" s="5"/>
      <c r="V3548" s="5"/>
      <c r="W3548" s="5"/>
      <c r="X3548" s="5"/>
      <c r="Y3548" s="5"/>
      <c r="Z3548" s="5"/>
    </row>
    <row r="3549" spans="1:26" ht="15.6" x14ac:dyDescent="0.3">
      <c r="A3549" s="19" t="s">
        <v>8</v>
      </c>
      <c r="B3549" s="26" t="s">
        <v>3536</v>
      </c>
      <c r="C3549" s="2" t="str">
        <f ca="1">IFERROR(__xludf.DUMMYFUNCTION("GOOGLETRANSLATE(B3549, ""bn"", ""en"")"),"The miscreants attacked the mosque in Netrakona and tore the pages of the Quran, causing panic among the worshippers.")</f>
        <v>The miscreants attacked the mosque in Netrakona and tore the pages of the Quran, causing panic among the worshippers.</v>
      </c>
      <c r="D3549" s="5"/>
      <c r="E3549" s="5"/>
      <c r="F3549" s="5"/>
      <c r="G3549" s="5"/>
      <c r="H3549" s="5"/>
      <c r="I3549" s="5"/>
      <c r="J3549" s="5"/>
      <c r="K3549" s="5"/>
      <c r="L3549" s="5"/>
      <c r="M3549" s="5"/>
      <c r="N3549" s="5"/>
      <c r="O3549" s="5"/>
      <c r="P3549" s="5"/>
      <c r="Q3549" s="5"/>
      <c r="R3549" s="5"/>
      <c r="S3549" s="5"/>
      <c r="T3549" s="5"/>
      <c r="U3549" s="5"/>
      <c r="V3549" s="5"/>
      <c r="W3549" s="5"/>
      <c r="X3549" s="5"/>
      <c r="Y3549" s="5"/>
      <c r="Z3549" s="5"/>
    </row>
    <row r="3550" spans="1:26" ht="15.6" x14ac:dyDescent="0.3">
      <c r="A3550" s="18" t="s">
        <v>8</v>
      </c>
      <c r="B3550" s="24" t="s">
        <v>3537</v>
      </c>
      <c r="C3550" s="2" t="str">
        <f ca="1">IFERROR(__xludf.DUMMYFUNCTION("GOOGLETRANSLATE(B3550, ""bn"", ""en"")"),"On August 24, 2023, a Durga temple in Ulipur, Kurigram was attacked and the idol's ornaments and hands were broken.")</f>
        <v>On August 24, 2023, a Durga temple in Ulipur, Kurigram was attacked and the idol's ornaments and hands were broken.</v>
      </c>
      <c r="D3550" s="5"/>
      <c r="E3550" s="5"/>
      <c r="F3550" s="5"/>
      <c r="G3550" s="5"/>
      <c r="H3550" s="5"/>
      <c r="I3550" s="5"/>
      <c r="J3550" s="5"/>
      <c r="K3550" s="5"/>
      <c r="L3550" s="5"/>
      <c r="M3550" s="5"/>
      <c r="N3550" s="5"/>
      <c r="O3550" s="5"/>
      <c r="P3550" s="5"/>
      <c r="Q3550" s="5"/>
      <c r="R3550" s="5"/>
      <c r="S3550" s="5"/>
      <c r="T3550" s="5"/>
      <c r="U3550" s="5"/>
      <c r="V3550" s="5"/>
      <c r="W3550" s="5"/>
      <c r="X3550" s="5"/>
      <c r="Y3550" s="5"/>
      <c r="Z3550" s="5"/>
    </row>
    <row r="3551" spans="1:26" ht="15.6" x14ac:dyDescent="0.3">
      <c r="A3551" s="18" t="s">
        <v>3</v>
      </c>
      <c r="B3551" s="25" t="s">
        <v>3538</v>
      </c>
      <c r="C3551" s="2" t="str">
        <f ca="1">IFERROR(__xludf.DUMMYFUNCTION("GOOGLETRANSLATE(B3551, ""bn"", ""en"")"),"For the welfare of humanity, Allah has commanded all people in the Qur'an to live together through peace, harmony and love, which transcends even religious differences.")</f>
        <v>For the welfare of humanity, Allah has commanded all people in the Qur'an to live together through peace, harmony and love, which transcends even religious differences.</v>
      </c>
      <c r="D3551" s="5"/>
      <c r="E3551" s="5"/>
      <c r="F3551" s="5"/>
      <c r="G3551" s="5"/>
      <c r="H3551" s="5"/>
      <c r="I3551" s="5"/>
      <c r="J3551" s="5"/>
      <c r="K3551" s="5"/>
      <c r="L3551" s="5"/>
      <c r="M3551" s="5"/>
      <c r="N3551" s="5"/>
      <c r="O3551" s="5"/>
      <c r="P3551" s="5"/>
      <c r="Q3551" s="5"/>
      <c r="R3551" s="5"/>
      <c r="S3551" s="5"/>
      <c r="T3551" s="5"/>
      <c r="U3551" s="5"/>
      <c r="V3551" s="5"/>
      <c r="W3551" s="5"/>
      <c r="X3551" s="5"/>
      <c r="Y3551" s="5"/>
      <c r="Z3551" s="5"/>
    </row>
    <row r="3552" spans="1:26" ht="15.6" x14ac:dyDescent="0.3">
      <c r="A3552" s="19" t="s">
        <v>3</v>
      </c>
      <c r="B3552" s="26" t="s">
        <v>3539</v>
      </c>
      <c r="C3552" s="2" t="str">
        <f ca="1">IFERROR(__xludf.DUMMYFUNCTION("GOOGLETRANSLATE(B3552, ""bn"", ""en"")"),"Peace and love are the natural state of Hinduism, beneficial to all living beings.")</f>
        <v>Peace and love are the natural state of Hinduism, beneficial to all living beings.</v>
      </c>
      <c r="D3552" s="5"/>
      <c r="E3552" s="5"/>
      <c r="F3552" s="5"/>
      <c r="G3552" s="5"/>
      <c r="H3552" s="5"/>
      <c r="I3552" s="5"/>
      <c r="J3552" s="5"/>
      <c r="K3552" s="5"/>
      <c r="L3552" s="5"/>
      <c r="M3552" s="5"/>
      <c r="N3552" s="5"/>
      <c r="O3552" s="5"/>
      <c r="P3552" s="5"/>
      <c r="Q3552" s="5"/>
      <c r="R3552" s="5"/>
      <c r="S3552" s="5"/>
      <c r="T3552" s="5"/>
      <c r="U3552" s="5"/>
      <c r="V3552" s="5"/>
      <c r="W3552" s="5"/>
      <c r="X3552" s="5"/>
      <c r="Y3552" s="5"/>
      <c r="Z3552" s="5"/>
    </row>
    <row r="3553" spans="1:26" ht="15.6" x14ac:dyDescent="0.3">
      <c r="A3553" s="19" t="s">
        <v>5</v>
      </c>
      <c r="B3553" s="26" t="s">
        <v>3540</v>
      </c>
      <c r="C3553" s="2" t="str">
        <f ca="1">IFERROR(__xludf.DUMMYFUNCTION("GOOGLETRANSLATE(B3553, ""bn"", ""en"")"),"Muslims were abducted and shot dead by unidentified miscreants in Barui at night. Another villager named Vinod Bihari Barui, who defended the village during the attack, was strangled to death. Later the case disappeared from the court as well as the polic"&amp;"e station.")</f>
        <v>Muslims were abducted and shot dead by unidentified miscreants in Barui at night. Another villager named Vinod Bihari Barui, who defended the village during the attack, was strangled to death. Later the case disappeared from the court as well as the police station.</v>
      </c>
      <c r="D3553" s="7"/>
      <c r="E3553" s="7"/>
      <c r="F3553" s="7"/>
      <c r="G3553" s="5"/>
      <c r="H3553" s="5"/>
      <c r="I3553" s="5"/>
      <c r="J3553" s="5"/>
      <c r="K3553" s="5"/>
      <c r="L3553" s="5"/>
      <c r="M3553" s="5"/>
      <c r="N3553" s="5"/>
      <c r="O3553" s="5"/>
      <c r="P3553" s="5"/>
      <c r="Q3553" s="5"/>
      <c r="R3553" s="5"/>
      <c r="S3553" s="5"/>
      <c r="T3553" s="5"/>
      <c r="U3553" s="5"/>
      <c r="V3553" s="5"/>
      <c r="W3553" s="5"/>
      <c r="X3553" s="5"/>
      <c r="Y3553" s="5"/>
      <c r="Z3553" s="5"/>
    </row>
    <row r="3554" spans="1:26" ht="15.6" x14ac:dyDescent="0.3">
      <c r="A3554" s="18" t="s">
        <v>23</v>
      </c>
      <c r="B3554" s="25" t="s">
        <v>3541</v>
      </c>
      <c r="C3554" s="2" t="str">
        <f ca="1">IFERROR(__xludf.DUMMYFUNCTION("GOOGLETRANSLATE(B3554, ""bn"", ""en"")"),"Parents do not practice religion and do not teach their children traditional religion. What will happen will happen.")</f>
        <v>Parents do not practice religion and do not teach their children traditional religion. What will happen will happen.</v>
      </c>
      <c r="D3554" s="5"/>
      <c r="E3554" s="5"/>
      <c r="F3554" s="5"/>
      <c r="G3554" s="5"/>
      <c r="H3554" s="5"/>
      <c r="I3554" s="5"/>
      <c r="J3554" s="5"/>
      <c r="K3554" s="5"/>
      <c r="L3554" s="5"/>
      <c r="M3554" s="5"/>
      <c r="N3554" s="5"/>
      <c r="O3554" s="5"/>
      <c r="P3554" s="5"/>
      <c r="Q3554" s="5"/>
      <c r="R3554" s="5"/>
      <c r="S3554" s="5"/>
      <c r="T3554" s="5"/>
      <c r="U3554" s="5"/>
      <c r="V3554" s="5"/>
      <c r="W3554" s="5"/>
      <c r="X3554" s="5"/>
      <c r="Y3554" s="5"/>
      <c r="Z3554" s="5"/>
    </row>
    <row r="3555" spans="1:26" ht="15.6" x14ac:dyDescent="0.3">
      <c r="A3555" s="18" t="s">
        <v>5</v>
      </c>
      <c r="B3555" s="24" t="s">
        <v>3542</v>
      </c>
      <c r="C3555" s="2" t="str">
        <f ca="1">IFERROR(__xludf.DUMMYFUNCTION("GOOGLETRANSLATE(B3555, ""bn"", ""en"")"),"In June 2020, a group set fire to the homes of minorities; It killed 27 people and left many families homeless.")</f>
        <v>In June 2020, a group set fire to the homes of minorities; It killed 27 people and left many families homeless.</v>
      </c>
      <c r="D3555" s="5"/>
      <c r="E3555" s="5"/>
      <c r="F3555" s="5"/>
      <c r="G3555" s="5"/>
      <c r="H3555" s="5"/>
      <c r="I3555" s="5"/>
      <c r="J3555" s="5"/>
      <c r="K3555" s="5"/>
      <c r="L3555" s="5"/>
      <c r="M3555" s="5"/>
      <c r="N3555" s="5"/>
      <c r="O3555" s="5"/>
      <c r="P3555" s="5"/>
      <c r="Q3555" s="5"/>
      <c r="R3555" s="5"/>
      <c r="S3555" s="5"/>
      <c r="T3555" s="5"/>
      <c r="U3555" s="5"/>
      <c r="V3555" s="5"/>
      <c r="W3555" s="5"/>
      <c r="X3555" s="5"/>
      <c r="Y3555" s="5"/>
      <c r="Z3555" s="5"/>
    </row>
    <row r="3556" spans="1:26" ht="15.6" x14ac:dyDescent="0.3">
      <c r="A3556" s="18" t="s">
        <v>3</v>
      </c>
      <c r="B3556" s="25" t="s">
        <v>3543</v>
      </c>
      <c r="C3556" s="2" t="str">
        <f ca="1">IFERROR(__xludf.DUMMYFUNCTION("GOOGLETRANSLATE(B3556, ""bn"", ""en"")"),"In the pagoda, all the activities of the Buddhist Day celebrations continue in the pagoda. Besides, fairs are held on this day in various villages and villages. The largest fair is held in Baidyapara village of Chittagong, popularly known as Bodhidrum Mel"&amp;"a.")</f>
        <v>In the pagoda, all the activities of the Buddhist Day celebrations continue in the pagoda. Besides, fairs are held on this day in various villages and villages. The largest fair is held in Baidyapara village of Chittagong, popularly known as Bodhidrum Mela.</v>
      </c>
      <c r="D3556" s="5"/>
      <c r="E3556" s="5"/>
      <c r="F3556" s="5"/>
      <c r="G3556" s="5"/>
      <c r="H3556" s="5"/>
      <c r="I3556" s="5"/>
      <c r="J3556" s="5"/>
      <c r="K3556" s="5"/>
      <c r="L3556" s="5"/>
      <c r="M3556" s="5"/>
      <c r="N3556" s="5"/>
      <c r="O3556" s="5"/>
      <c r="P3556" s="5"/>
      <c r="Q3556" s="5"/>
      <c r="R3556" s="5"/>
      <c r="S3556" s="5"/>
      <c r="T3556" s="5"/>
      <c r="U3556" s="5"/>
      <c r="V3556" s="5"/>
      <c r="W3556" s="5"/>
      <c r="X3556" s="5"/>
      <c r="Y3556" s="5"/>
      <c r="Z3556" s="5"/>
    </row>
    <row r="3557" spans="1:26" ht="15.6" x14ac:dyDescent="0.3">
      <c r="A3557" s="18" t="s">
        <v>5</v>
      </c>
      <c r="B3557" s="25" t="s">
        <v>3544</v>
      </c>
      <c r="C3557" s="2" t="str">
        <f ca="1">IFERROR(__xludf.DUMMYFUNCTION("GOOGLETRANSLATE(B3557, ""bn"", ""en"")"),"An attempt to kill a Christian priest with sharp weapons in Dinajpur is an example of communal violence.")</f>
        <v>An attempt to kill a Christian priest with sharp weapons in Dinajpur is an example of communal violence.</v>
      </c>
      <c r="D3557" s="2"/>
      <c r="E3557" s="2"/>
      <c r="F3557" s="2"/>
      <c r="G3557" s="2"/>
      <c r="H3557" s="3"/>
      <c r="I3557" s="3"/>
      <c r="J3557" s="3"/>
      <c r="K3557" s="3"/>
      <c r="L3557" s="3"/>
      <c r="M3557" s="3"/>
      <c r="N3557" s="3"/>
      <c r="O3557" s="3"/>
      <c r="P3557" s="3"/>
      <c r="Q3557" s="3"/>
      <c r="R3557" s="3"/>
      <c r="S3557" s="3"/>
      <c r="T3557" s="3"/>
      <c r="U3557" s="3"/>
      <c r="V3557" s="3"/>
      <c r="W3557" s="3"/>
      <c r="X3557" s="3"/>
      <c r="Y3557" s="3"/>
      <c r="Z3557" s="3"/>
    </row>
    <row r="3558" spans="1:26" ht="15.6" x14ac:dyDescent="0.3">
      <c r="A3558" s="18" t="s">
        <v>3</v>
      </c>
      <c r="B3558" s="25" t="s">
        <v>3545</v>
      </c>
      <c r="C3558" s="2" t="str">
        <f ca="1">IFERROR(__xludf.DUMMYFUNCTION("GOOGLETRANSLATE(B3558, ""bn"", ""en"")"),"Alhamdulillah, in that sense there are no riots in Bangladesh. There is religious coexistence and communal harmony. It is not unusual to see vulture eyes in this harmony. So, be careful. Must be dealt with slowly.")</f>
        <v>Alhamdulillah, in that sense there are no riots in Bangladesh. There is religious coexistence and communal harmony. It is not unusual to see vulture eyes in this harmony. So, be careful. Must be dealt with slowly.</v>
      </c>
      <c r="D3558" s="5"/>
      <c r="E3558" s="5"/>
      <c r="F3558" s="5"/>
      <c r="G3558" s="5"/>
      <c r="H3558" s="5"/>
      <c r="I3558" s="5"/>
      <c r="J3558" s="5"/>
      <c r="K3558" s="5"/>
      <c r="L3558" s="5"/>
      <c r="M3558" s="5"/>
      <c r="N3558" s="5"/>
      <c r="O3558" s="5"/>
      <c r="P3558" s="5"/>
      <c r="Q3558" s="5"/>
      <c r="R3558" s="5"/>
      <c r="S3558" s="5"/>
      <c r="T3558" s="5"/>
      <c r="U3558" s="5"/>
      <c r="V3558" s="5"/>
      <c r="W3558" s="5"/>
      <c r="X3558" s="5"/>
      <c r="Y3558" s="5"/>
      <c r="Z3558" s="5"/>
    </row>
    <row r="3559" spans="1:26" ht="15.6" x14ac:dyDescent="0.3">
      <c r="A3559" s="19" t="s">
        <v>3</v>
      </c>
      <c r="B3559" s="26" t="s">
        <v>3546</v>
      </c>
      <c r="C3559" s="2" t="str">
        <f ca="1">IFERROR(__xludf.DUMMYFUNCTION("GOOGLETRANSLATE(B3559, ""bn"", ""en"")"),"O Allah, grant us all the grace to worship more and more and grant us the blessing of seeing you in Paradise.")</f>
        <v>O Allah, grant us all the grace to worship more and more and grant us the blessing of seeing you in Paradise.</v>
      </c>
      <c r="D3559" s="7"/>
      <c r="E3559" s="7"/>
      <c r="F3559" s="7"/>
      <c r="G3559" s="7"/>
      <c r="H3559" s="7"/>
      <c r="I3559" s="5"/>
      <c r="J3559" s="5"/>
      <c r="K3559" s="5"/>
      <c r="L3559" s="5"/>
      <c r="M3559" s="5"/>
      <c r="N3559" s="5"/>
      <c r="O3559" s="5"/>
      <c r="P3559" s="5"/>
      <c r="Q3559" s="5"/>
      <c r="R3559" s="5"/>
      <c r="S3559" s="5"/>
      <c r="T3559" s="5"/>
      <c r="U3559" s="5"/>
      <c r="V3559" s="5"/>
      <c r="W3559" s="5"/>
      <c r="X3559" s="5"/>
      <c r="Y3559" s="5"/>
      <c r="Z3559" s="5"/>
    </row>
    <row r="3560" spans="1:26" ht="15.6" x14ac:dyDescent="0.3">
      <c r="A3560" s="19" t="s">
        <v>23</v>
      </c>
      <c r="B3560" s="26" t="s">
        <v>3547</v>
      </c>
      <c r="C3560" s="2" t="str">
        <f ca="1">IFERROR(__xludf.DUMMYFUNCTION("GOOGLETRANSLATE(B3560, ""bn"", ""en"")"),"Expert Option—What is it? What kind of philanthropy is this, bro? I thought you were a really good person, but now I see it's all just a money making scheme. Otherwise, no good minded person can push people towards destruction by promoting illegal ways li"&amp;"ke this. Your facial expression and inner character are completely different.")</f>
        <v>Expert Option—What is it? What kind of philanthropy is this, bro? I thought you were a really good person, but now I see it's all just a money making scheme. Otherwise, no good minded person can push people towards destruction by promoting illegal ways like this. Your facial expression and inner character are completely different.</v>
      </c>
      <c r="D3560" s="7"/>
      <c r="E3560" s="7"/>
      <c r="F3560" s="7"/>
      <c r="G3560" s="7"/>
      <c r="H3560" s="7"/>
      <c r="I3560" s="7"/>
      <c r="J3560" s="7"/>
      <c r="K3560" s="7"/>
      <c r="L3560" s="7"/>
      <c r="M3560" s="7"/>
      <c r="N3560" s="5"/>
      <c r="O3560" s="5"/>
      <c r="P3560" s="5"/>
      <c r="Q3560" s="5"/>
      <c r="R3560" s="5"/>
      <c r="S3560" s="5"/>
      <c r="T3560" s="5"/>
      <c r="U3560" s="5"/>
      <c r="V3560" s="5"/>
      <c r="W3560" s="5"/>
      <c r="X3560" s="5"/>
      <c r="Y3560" s="5"/>
      <c r="Z3560" s="5"/>
    </row>
    <row r="3561" spans="1:26" ht="15.6" x14ac:dyDescent="0.3">
      <c r="A3561" s="18" t="s">
        <v>3</v>
      </c>
      <c r="B3561" s="24" t="s">
        <v>3548</v>
      </c>
      <c r="C3561" s="2" t="str">
        <f ca="1">IFERROR(__xludf.DUMMYFUNCTION("GOOGLETRANSLATE(B3561, ""bn"", ""en"")"),"In Buddhism non-violence is said to be the best religion. Treating animals with compassion without harming them is encouraged.")</f>
        <v>In Buddhism non-violence is said to be the best religion. Treating animals with compassion without harming them is encouraged.</v>
      </c>
      <c r="D3561" s="5"/>
      <c r="E3561" s="5"/>
      <c r="F3561" s="5"/>
      <c r="G3561" s="5"/>
      <c r="H3561" s="5"/>
      <c r="I3561" s="5"/>
      <c r="J3561" s="5"/>
      <c r="K3561" s="5"/>
      <c r="L3561" s="5"/>
      <c r="M3561" s="5"/>
      <c r="N3561" s="5"/>
      <c r="O3561" s="5"/>
      <c r="P3561" s="5"/>
      <c r="Q3561" s="5"/>
      <c r="R3561" s="5"/>
      <c r="S3561" s="5"/>
      <c r="T3561" s="5"/>
      <c r="U3561" s="5"/>
      <c r="V3561" s="5"/>
      <c r="W3561" s="5"/>
      <c r="X3561" s="5"/>
      <c r="Y3561" s="5"/>
      <c r="Z3561" s="5"/>
    </row>
    <row r="3562" spans="1:26" ht="15.6" x14ac:dyDescent="0.3">
      <c r="A3562" s="18" t="s">
        <v>3</v>
      </c>
      <c r="B3562" s="25" t="s">
        <v>3549</v>
      </c>
      <c r="C3562" s="2" t="str">
        <f ca="1">IFERROR(__xludf.DUMMYFUNCTION("GOOGLETRANSLATE(B3562, ""bn"", ""en"")"),"By obeying Allah's instructions, we achieve true success, thereby paving the way for our salvation in the Hereafter.")</f>
        <v>By obeying Allah's instructions, we achieve true success, thereby paving the way for our salvation in the Hereafter.</v>
      </c>
      <c r="D3562" s="5"/>
      <c r="E3562" s="5"/>
      <c r="F3562" s="5"/>
      <c r="G3562" s="5"/>
      <c r="H3562" s="5"/>
      <c r="I3562" s="5"/>
      <c r="J3562" s="5"/>
      <c r="K3562" s="5"/>
      <c r="L3562" s="5"/>
      <c r="M3562" s="5"/>
      <c r="N3562" s="5"/>
      <c r="O3562" s="5"/>
      <c r="P3562" s="5"/>
      <c r="Q3562" s="5"/>
      <c r="R3562" s="5"/>
      <c r="S3562" s="5"/>
      <c r="T3562" s="5"/>
      <c r="U3562" s="5"/>
      <c r="V3562" s="5"/>
      <c r="W3562" s="5"/>
      <c r="X3562" s="5"/>
      <c r="Y3562" s="5"/>
      <c r="Z3562" s="5"/>
    </row>
    <row r="3563" spans="1:26" ht="15.6" x14ac:dyDescent="0.3">
      <c r="A3563" s="18" t="s">
        <v>3</v>
      </c>
      <c r="B3563" s="25" t="s">
        <v>3550</v>
      </c>
      <c r="C3563" s="2" t="str">
        <f ca="1">IFERROR(__xludf.DUMMYFUNCTION("GOOGLETRANSLATE(B3563, ""bn"", ""en"")"),"Meeting the Almighty Allah, the sole creator of the entire creation, defies even the infinite thoughts of imagination.")</f>
        <v>Meeting the Almighty Allah, the sole creator of the entire creation, defies even the infinite thoughts of imagination.</v>
      </c>
      <c r="D3563" s="2"/>
      <c r="E3563" s="2"/>
      <c r="F3563" s="2"/>
      <c r="G3563" s="2"/>
      <c r="H3563" s="3"/>
      <c r="I3563" s="3"/>
      <c r="J3563" s="3"/>
      <c r="K3563" s="3"/>
      <c r="L3563" s="3"/>
      <c r="M3563" s="3"/>
      <c r="N3563" s="3"/>
      <c r="O3563" s="3"/>
      <c r="P3563" s="3"/>
      <c r="Q3563" s="3"/>
      <c r="R3563" s="3"/>
      <c r="S3563" s="3"/>
      <c r="T3563" s="3"/>
      <c r="U3563" s="3"/>
      <c r="V3563" s="3"/>
      <c r="W3563" s="3"/>
      <c r="X3563" s="3"/>
      <c r="Y3563" s="3"/>
      <c r="Z3563" s="3"/>
    </row>
    <row r="3564" spans="1:26" ht="15.6" x14ac:dyDescent="0.3">
      <c r="A3564" s="19" t="s">
        <v>8</v>
      </c>
      <c r="B3564" s="26" t="s">
        <v>3551</v>
      </c>
      <c r="C3564" s="2" t="str">
        <f ca="1">IFERROR(__xludf.DUMMYFUNCTION("GOOGLETRANSLATE(B3564, ""bn"", ""en"")"),"On 27 March 1934, a Hindu-Muslim riot broke out in Ayodhya, triggered by the slaughter of cows in the nearby village of Shahjahanpur. The walls around the mosque and one of the domes of the mosque were damaged during the riots.")</f>
        <v>On 27 March 1934, a Hindu-Muslim riot broke out in Ayodhya, triggered by the slaughter of cows in the nearby village of Shahjahanpur. The walls around the mosque and one of the domes of the mosque were damaged during the riots.</v>
      </c>
      <c r="D3564" s="5"/>
      <c r="E3564" s="5"/>
      <c r="F3564" s="5"/>
      <c r="G3564" s="5"/>
      <c r="H3564" s="5"/>
      <c r="I3564" s="5"/>
      <c r="J3564" s="5"/>
      <c r="K3564" s="5"/>
      <c r="L3564" s="5"/>
      <c r="M3564" s="5"/>
      <c r="N3564" s="5"/>
      <c r="O3564" s="5"/>
      <c r="P3564" s="5"/>
      <c r="Q3564" s="5"/>
      <c r="R3564" s="5"/>
      <c r="S3564" s="5"/>
      <c r="T3564" s="5"/>
      <c r="U3564" s="5"/>
      <c r="V3564" s="5"/>
      <c r="W3564" s="5"/>
      <c r="X3564" s="5"/>
      <c r="Y3564" s="5"/>
      <c r="Z3564" s="5"/>
    </row>
    <row r="3565" spans="1:26" ht="15.6" x14ac:dyDescent="0.3">
      <c r="A3565" s="18" t="s">
        <v>3</v>
      </c>
      <c r="B3565" s="25" t="s">
        <v>3552</v>
      </c>
      <c r="C3565" s="2" t="str">
        <f ca="1">IFERROR(__xludf.DUMMYFUNCTION("GOOGLETRANSLATE(B3565, ""bn"", ""en"")"),"If they are asked to build a temple to protect religion, give some land and some money for puja, even come and help, they do not come, but their attitude is always sympathetic.")</f>
        <v>If they are asked to build a temple to protect religion, give some land and some money for puja, even come and help, they do not come, but their attitude is always sympathetic.</v>
      </c>
      <c r="D3565" s="5"/>
      <c r="E3565" s="5"/>
      <c r="F3565" s="5"/>
      <c r="G3565" s="5"/>
      <c r="H3565" s="5"/>
      <c r="I3565" s="5"/>
      <c r="J3565" s="5"/>
      <c r="K3565" s="5"/>
      <c r="L3565" s="5"/>
      <c r="M3565" s="5"/>
      <c r="N3565" s="5"/>
      <c r="O3565" s="5"/>
      <c r="P3565" s="5"/>
      <c r="Q3565" s="5"/>
      <c r="R3565" s="5"/>
      <c r="S3565" s="5"/>
      <c r="T3565" s="5"/>
      <c r="U3565" s="5"/>
      <c r="V3565" s="5"/>
      <c r="W3565" s="5"/>
      <c r="X3565" s="5"/>
      <c r="Y3565" s="5"/>
      <c r="Z3565" s="5"/>
    </row>
    <row r="3566" spans="1:26" ht="15.6" x14ac:dyDescent="0.3">
      <c r="A3566" s="18" t="s">
        <v>8</v>
      </c>
      <c r="B3566" s="25" t="s">
        <v>3553</v>
      </c>
      <c r="C3566" s="2" t="str">
        <f ca="1">IFERROR(__xludf.DUMMYFUNCTION("GOOGLETRANSLATE(B3566, ""bn"", ""en"")"),"They attacked, vandalized, set arson and looted Hindu homes, businesses and temples. A total of 66 families were affected.")</f>
        <v>They attacked, vandalized, set arson and looted Hindu homes, businesses and temples. A total of 66 families were affected.</v>
      </c>
      <c r="D3566" s="5"/>
      <c r="E3566" s="5"/>
      <c r="F3566" s="5"/>
      <c r="G3566" s="5"/>
      <c r="H3566" s="5"/>
      <c r="I3566" s="5"/>
      <c r="J3566" s="5"/>
      <c r="K3566" s="5"/>
      <c r="L3566" s="5"/>
      <c r="M3566" s="5"/>
      <c r="N3566" s="5"/>
      <c r="O3566" s="5"/>
      <c r="P3566" s="5"/>
      <c r="Q3566" s="5"/>
      <c r="R3566" s="5"/>
      <c r="S3566" s="5"/>
      <c r="T3566" s="5"/>
      <c r="U3566" s="5"/>
      <c r="V3566" s="5"/>
      <c r="W3566" s="5"/>
      <c r="X3566" s="5"/>
      <c r="Y3566" s="5"/>
      <c r="Z3566" s="5"/>
    </row>
    <row r="3567" spans="1:26" ht="15.6" x14ac:dyDescent="0.3">
      <c r="A3567" s="18" t="s">
        <v>3</v>
      </c>
      <c r="B3567" s="25" t="s">
        <v>3554</v>
      </c>
      <c r="C3567" s="2" t="str">
        <f ca="1">IFERROR(__xludf.DUMMYFUNCTION("GOOGLETRANSLATE(B3567, ""bn"", ""en"")"),"Those who founded this channel, may Allah bless them with success in this world and the hereafter! Amen, Ya Rabbal Alamin!")</f>
        <v>Those who founded this channel, may Allah bless them with success in this world and the hereafter! Amen, Ya Rabbal Alamin!</v>
      </c>
      <c r="D3567" s="5"/>
      <c r="E3567" s="5"/>
      <c r="F3567" s="5"/>
      <c r="G3567" s="5"/>
      <c r="H3567" s="5"/>
      <c r="I3567" s="5"/>
      <c r="J3567" s="5"/>
      <c r="K3567" s="5"/>
      <c r="L3567" s="5"/>
      <c r="M3567" s="5"/>
      <c r="N3567" s="5"/>
      <c r="O3567" s="5"/>
      <c r="P3567" s="5"/>
      <c r="Q3567" s="5"/>
      <c r="R3567" s="5"/>
      <c r="S3567" s="5"/>
      <c r="T3567" s="5"/>
      <c r="U3567" s="5"/>
      <c r="V3567" s="5"/>
      <c r="W3567" s="5"/>
      <c r="X3567" s="5"/>
      <c r="Y3567" s="5"/>
      <c r="Z3567" s="5"/>
    </row>
    <row r="3568" spans="1:26" ht="15.6" x14ac:dyDescent="0.3">
      <c r="A3568" s="18" t="s">
        <v>3</v>
      </c>
      <c r="B3568" s="24" t="s">
        <v>3555</v>
      </c>
      <c r="C3568" s="2" t="str">
        <f ca="1">IFERROR(__xludf.DUMMYFUNCTION("GOOGLETRANSLATE(B3568, ""bn"", ""en"")"),"Fasting is not just fasting, but a training in self-control and self-purification.")</f>
        <v>Fasting is not just fasting, but a training in self-control and self-purification.</v>
      </c>
      <c r="D3568" s="5"/>
      <c r="E3568" s="5"/>
      <c r="F3568" s="5"/>
      <c r="G3568" s="5"/>
      <c r="H3568" s="5"/>
      <c r="I3568" s="5"/>
      <c r="J3568" s="5"/>
      <c r="K3568" s="5"/>
      <c r="L3568" s="5"/>
      <c r="M3568" s="5"/>
      <c r="N3568" s="5"/>
      <c r="O3568" s="5"/>
      <c r="P3568" s="5"/>
      <c r="Q3568" s="5"/>
      <c r="R3568" s="5"/>
      <c r="S3568" s="5"/>
      <c r="T3568" s="5"/>
      <c r="U3568" s="5"/>
      <c r="V3568" s="5"/>
      <c r="W3568" s="5"/>
      <c r="X3568" s="5"/>
      <c r="Y3568" s="5"/>
      <c r="Z3568" s="5"/>
    </row>
    <row r="3569" spans="1:26" ht="15.6" x14ac:dyDescent="0.3">
      <c r="A3569" s="18" t="s">
        <v>3</v>
      </c>
      <c r="B3569" s="25" t="s">
        <v>3556</v>
      </c>
      <c r="C3569" s="2" t="str">
        <f ca="1">IFERROR(__xludf.DUMMYFUNCTION("GOOGLETRANSLATE(B3569, ""bn"", ""en"")"),"We should all examine our hearts and attitudes about religious practice, because true religious behavior should be done with humility and honesty.")</f>
        <v>We should all examine our hearts and attitudes about religious practice, because true religious behavior should be done with humility and honesty.</v>
      </c>
      <c r="D3569" s="2"/>
      <c r="E3569" s="2"/>
      <c r="F3569" s="2"/>
      <c r="G3569" s="2"/>
      <c r="H3569" s="5"/>
      <c r="I3569" s="5"/>
      <c r="J3569" s="5"/>
      <c r="K3569" s="5"/>
      <c r="L3569" s="5"/>
      <c r="M3569" s="5"/>
      <c r="N3569" s="5"/>
      <c r="O3569" s="5"/>
      <c r="P3569" s="5"/>
      <c r="Q3569" s="5"/>
      <c r="R3569" s="5"/>
      <c r="S3569" s="5"/>
      <c r="T3569" s="5"/>
      <c r="U3569" s="5"/>
      <c r="V3569" s="5"/>
      <c r="W3569" s="5"/>
      <c r="X3569" s="5"/>
      <c r="Y3569" s="5"/>
      <c r="Z3569" s="5"/>
    </row>
    <row r="3570" spans="1:26" ht="15.6" x14ac:dyDescent="0.3">
      <c r="A3570" s="19" t="s">
        <v>8</v>
      </c>
      <c r="B3570" s="26" t="s">
        <v>3557</v>
      </c>
      <c r="C3570" s="2" t="str">
        <f ca="1">IFERROR(__xludf.DUMMYFUNCTION("GOOGLETRANSLATE(B3570, ""bn"", ""en"")"),"It could be a well-planned blueprint for profiting by destroying the communal harmony of the country. These are part of a deeper conspiracy to destroy the enviable communal harmony of Bangladesh. After a year or two, when the puja time comes, some miscrea"&amp;"nts try to create riots by spreading religious tension for political gain.")</f>
        <v>It could be a well-planned blueprint for profiting by destroying the communal harmony of the country. These are part of a deeper conspiracy to destroy the enviable communal harmony of Bangladesh. After a year or two, when the puja time comes, some miscreants try to create riots by spreading religious tension for political gain.</v>
      </c>
      <c r="D3570" s="7"/>
      <c r="E3570" s="7"/>
      <c r="F3570" s="7"/>
      <c r="G3570" s="7"/>
      <c r="H3570" s="7"/>
      <c r="I3570" s="7"/>
      <c r="J3570" s="7"/>
      <c r="K3570" s="7"/>
      <c r="L3570" s="5"/>
      <c r="M3570" s="5"/>
      <c r="N3570" s="5"/>
      <c r="O3570" s="5"/>
      <c r="P3570" s="5"/>
      <c r="Q3570" s="5"/>
      <c r="R3570" s="5"/>
      <c r="S3570" s="5"/>
      <c r="T3570" s="5"/>
      <c r="U3570" s="5"/>
      <c r="V3570" s="5"/>
      <c r="W3570" s="5"/>
      <c r="X3570" s="5"/>
      <c r="Y3570" s="5"/>
      <c r="Z3570" s="5"/>
    </row>
    <row r="3571" spans="1:26" ht="15.6" x14ac:dyDescent="0.3">
      <c r="A3571" s="18" t="s">
        <v>23</v>
      </c>
      <c r="B3571" s="25" t="s">
        <v>3558</v>
      </c>
      <c r="C3571" s="2" t="str">
        <f ca="1">IFERROR(__xludf.DUMMYFUNCTION("GOOGLETRANSLATE(B3571, ""bn"", ""en"")"),"Those who sit wearing the mask of a Muslim country called Bangladesh, have not opened their mouth even once after insulting the Prophet - they are anti-Islamic traitors.")</f>
        <v>Those who sit wearing the mask of a Muslim country called Bangladesh, have not opened their mouth even once after insulting the Prophet - they are anti-Islamic traitors.</v>
      </c>
      <c r="D3571" s="5"/>
      <c r="E3571" s="5"/>
      <c r="F3571" s="5"/>
      <c r="G3571" s="5"/>
      <c r="H3571" s="5"/>
      <c r="I3571" s="5"/>
      <c r="J3571" s="5"/>
      <c r="K3571" s="5"/>
      <c r="L3571" s="5"/>
      <c r="M3571" s="5"/>
      <c r="N3571" s="5"/>
      <c r="O3571" s="5"/>
      <c r="P3571" s="5"/>
      <c r="Q3571" s="5"/>
      <c r="R3571" s="5"/>
      <c r="S3571" s="5"/>
      <c r="T3571" s="5"/>
      <c r="U3571" s="5"/>
      <c r="V3571" s="5"/>
      <c r="W3571" s="5"/>
      <c r="X3571" s="5"/>
      <c r="Y3571" s="5"/>
      <c r="Z3571" s="5"/>
    </row>
    <row r="3572" spans="1:26" ht="15.6" x14ac:dyDescent="0.3">
      <c r="A3572" s="18" t="s">
        <v>5</v>
      </c>
      <c r="B3572" s="25" t="s">
        <v>3559</v>
      </c>
      <c r="C3572" s="2" t="str">
        <f ca="1">IFERROR(__xludf.DUMMYFUNCTION("GOOGLETRANSLATE(B3572, ""bn"", ""en"")"),"National elections were held on January 5 of that year. Hindus were victims of subsequent violence. 761 Hindu houses, 193 business establishments and 247 temples were attacked that year. Then one person was killed.")</f>
        <v>National elections were held on January 5 of that year. Hindus were victims of subsequent violence. 761 Hindu houses, 193 business establishments and 247 temples were attacked that year. Then one person was killed.</v>
      </c>
      <c r="D3572" s="6"/>
      <c r="E3572" s="2"/>
      <c r="F3572" s="2"/>
      <c r="G3572" s="2"/>
      <c r="H3572" s="3"/>
      <c r="I3572" s="3"/>
      <c r="J3572" s="3"/>
      <c r="K3572" s="3"/>
      <c r="L3572" s="3"/>
      <c r="M3572" s="3"/>
      <c r="N3572" s="3"/>
      <c r="O3572" s="3"/>
      <c r="P3572" s="3"/>
      <c r="Q3572" s="3"/>
      <c r="R3572" s="3"/>
      <c r="S3572" s="3"/>
      <c r="T3572" s="3"/>
      <c r="U3572" s="3"/>
      <c r="V3572" s="3"/>
      <c r="W3572" s="3"/>
      <c r="X3572" s="3"/>
      <c r="Y3572" s="3"/>
      <c r="Z3572" s="3"/>
    </row>
    <row r="3573" spans="1:26" ht="15.6" x14ac:dyDescent="0.3">
      <c r="A3573" s="18" t="s">
        <v>5</v>
      </c>
      <c r="B3573" s="25" t="s">
        <v>3560</v>
      </c>
      <c r="C3573" s="2" t="str">
        <f ca="1">IFERROR(__xludf.DUMMYFUNCTION("GOOGLETRANSLATE(B3573, ""bn"", ""en"")"),"Terrible killings have started in Gorpar area. Hindus are being killed wholesale on the west bank of the canal. Hindu houses are being burnt")</f>
        <v>Terrible killings have started in Gorpar area. Hindus are being killed wholesale on the west bank of the canal. Hindu houses are being burnt</v>
      </c>
      <c r="D3573" s="2"/>
      <c r="E3573" s="2"/>
      <c r="F3573" s="2"/>
      <c r="G3573" s="2"/>
      <c r="H3573" s="3"/>
      <c r="I3573" s="3"/>
      <c r="J3573" s="3"/>
      <c r="K3573" s="3"/>
      <c r="L3573" s="3"/>
      <c r="M3573" s="3"/>
      <c r="N3573" s="3"/>
      <c r="O3573" s="3"/>
      <c r="P3573" s="3"/>
      <c r="Q3573" s="3"/>
      <c r="R3573" s="3"/>
      <c r="S3573" s="3"/>
      <c r="T3573" s="3"/>
      <c r="U3573" s="3"/>
      <c r="V3573" s="3"/>
      <c r="W3573" s="3"/>
      <c r="X3573" s="3"/>
      <c r="Y3573" s="3"/>
      <c r="Z3573" s="3"/>
    </row>
    <row r="3574" spans="1:26" ht="15.6" x14ac:dyDescent="0.3">
      <c r="A3574" s="19" t="s">
        <v>8</v>
      </c>
      <c r="B3574" s="26" t="s">
        <v>3561</v>
      </c>
      <c r="C3574" s="2" t="str">
        <f ca="1">IFERROR(__xludf.DUMMYFUNCTION("GOOGLETRANSLATE(B3574, ""bn"", ""en"")"),"In Bogra, extremist groups attacked minorities for playing drums near mosques.")</f>
        <v>In Bogra, extremist groups attacked minorities for playing drums near mosques.</v>
      </c>
      <c r="D3574" s="5"/>
      <c r="E3574" s="5"/>
      <c r="F3574" s="5"/>
      <c r="G3574" s="5"/>
      <c r="H3574" s="5"/>
      <c r="I3574" s="5"/>
      <c r="J3574" s="5"/>
      <c r="K3574" s="5"/>
      <c r="L3574" s="5"/>
      <c r="M3574" s="5"/>
      <c r="N3574" s="5"/>
      <c r="O3574" s="5"/>
      <c r="P3574" s="5"/>
      <c r="Q3574" s="5"/>
      <c r="R3574" s="5"/>
      <c r="S3574" s="5"/>
      <c r="T3574" s="5"/>
      <c r="U3574" s="5"/>
      <c r="V3574" s="5"/>
      <c r="W3574" s="5"/>
      <c r="X3574" s="5"/>
      <c r="Y3574" s="5"/>
      <c r="Z3574" s="5"/>
    </row>
    <row r="3575" spans="1:26" ht="15.6" x14ac:dyDescent="0.3">
      <c r="A3575" s="19" t="s">
        <v>3</v>
      </c>
      <c r="B3575" s="26" t="s">
        <v>3562</v>
      </c>
      <c r="C3575" s="2" t="str">
        <f ca="1">IFERROR(__xludf.DUMMYFUNCTION("GOOGLETRANSLATE(B3575, ""bn"", ""en"")"),"There is no place for despondency and inferiority in the Islamic creed and way of life. Believers believe that the end of life is not death.")</f>
        <v>There is no place for despondency and inferiority in the Islamic creed and way of life. Believers believe that the end of life is not death.</v>
      </c>
      <c r="D3575" s="7"/>
      <c r="E3575" s="7"/>
      <c r="F3575" s="7"/>
      <c r="G3575" s="7"/>
      <c r="H3575" s="5"/>
      <c r="I3575" s="5"/>
      <c r="J3575" s="5"/>
      <c r="K3575" s="5"/>
      <c r="L3575" s="5"/>
      <c r="M3575" s="5"/>
      <c r="N3575" s="5"/>
      <c r="O3575" s="5"/>
      <c r="P3575" s="5"/>
      <c r="Q3575" s="5"/>
      <c r="R3575" s="5"/>
      <c r="S3575" s="5"/>
      <c r="T3575" s="5"/>
      <c r="U3575" s="5"/>
      <c r="V3575" s="5"/>
      <c r="W3575" s="5"/>
      <c r="X3575" s="5"/>
      <c r="Y3575" s="5"/>
      <c r="Z3575" s="5"/>
    </row>
    <row r="3576" spans="1:26" ht="15.6" x14ac:dyDescent="0.3">
      <c r="A3576" s="18" t="s">
        <v>8</v>
      </c>
      <c r="B3576" s="25" t="s">
        <v>3563</v>
      </c>
      <c r="C3576" s="2" t="str">
        <f ca="1">IFERROR(__xludf.DUMMYFUNCTION("GOOGLETRANSLATE(B3576, ""bn"", ""en"")"),"Kantnagar village Jame Masjid is the owner of this land according to the suit and Apsanama. In 1976, the DC of Dinajpur gave the said land to them. The villager has a copy of the three-page Apsnama. Kantnagar Village Jame Masjid was recently demolished fo"&amp;"r reconstruction due to lack of space for Muslims. And work is started to build a new way.")</f>
        <v>Kantnagar village Jame Masjid is the owner of this land according to the suit and Apsanama. In 1976, the DC of Dinajpur gave the said land to them. The villager has a copy of the three-page Apsnama. Kantnagar Village Jame Masjid was recently demolished for reconstruction due to lack of space for Muslims. And work is started to build a new way.</v>
      </c>
      <c r="D3576" s="5"/>
      <c r="E3576" s="5"/>
      <c r="F3576" s="5"/>
      <c r="G3576" s="5"/>
      <c r="H3576" s="5"/>
      <c r="I3576" s="5"/>
      <c r="J3576" s="5"/>
      <c r="K3576" s="5"/>
      <c r="L3576" s="5"/>
      <c r="M3576" s="5"/>
      <c r="N3576" s="5"/>
      <c r="O3576" s="5"/>
      <c r="P3576" s="5"/>
      <c r="Q3576" s="5"/>
      <c r="R3576" s="5"/>
      <c r="S3576" s="5"/>
      <c r="T3576" s="5"/>
      <c r="U3576" s="5"/>
      <c r="V3576" s="5"/>
      <c r="W3576" s="5"/>
      <c r="X3576" s="5"/>
      <c r="Y3576" s="5"/>
      <c r="Z3576" s="5"/>
    </row>
    <row r="3577" spans="1:26" ht="15.6" x14ac:dyDescent="0.3">
      <c r="A3577" s="18" t="s">
        <v>23</v>
      </c>
      <c r="B3577" s="24" t="s">
        <v>3564</v>
      </c>
      <c r="C3577" s="2" t="str">
        <f ca="1">IFERROR(__xludf.DUMMYFUNCTION("GOOGLETRANSLATE(B3577, ""bn"", ""en"")"),"Their religion means hypocrisy and deception, why do we tolerate these superstitions?")</f>
        <v>Their religion means hypocrisy and deception, why do we tolerate these superstitions?</v>
      </c>
      <c r="D3577" s="5"/>
      <c r="E3577" s="5"/>
      <c r="F3577" s="5"/>
      <c r="G3577" s="5"/>
      <c r="H3577" s="5"/>
      <c r="I3577" s="5"/>
      <c r="J3577" s="5"/>
      <c r="K3577" s="5"/>
      <c r="L3577" s="5"/>
      <c r="M3577" s="5"/>
      <c r="N3577" s="5"/>
      <c r="O3577" s="5"/>
      <c r="P3577" s="5"/>
      <c r="Q3577" s="5"/>
      <c r="R3577" s="5"/>
      <c r="S3577" s="5"/>
      <c r="T3577" s="5"/>
      <c r="U3577" s="5"/>
      <c r="V3577" s="5"/>
      <c r="W3577" s="5"/>
      <c r="X3577" s="5"/>
      <c r="Y3577" s="5"/>
      <c r="Z3577" s="5"/>
    </row>
    <row r="3578" spans="1:26" ht="15.6" x14ac:dyDescent="0.3">
      <c r="A3578" s="18" t="s">
        <v>3</v>
      </c>
      <c r="B3578" s="25" t="s">
        <v>3565</v>
      </c>
      <c r="C3578" s="2" t="str">
        <f ca="1">IFERROR(__xludf.DUMMYFUNCTION("GOOGLETRANSLATE(B3578, ""bn"", ""en"")"),"The man who can lead with all the people Hindu-Muslim Sikhs, Ishais, Adivasi Tapashili, Christians, Matua Nava Shuddha, Dalit is the real leader of the country, we West Bengalis are with him.")</f>
        <v>The man who can lead with all the people Hindu-Muslim Sikhs, Ishais, Adivasi Tapashili, Christians, Matua Nava Shuddha, Dalit is the real leader of the country, we West Bengalis are with him.</v>
      </c>
      <c r="D3578" s="2"/>
      <c r="E3578" s="2"/>
      <c r="F3578" s="2"/>
      <c r="G3578" s="2"/>
      <c r="H3578" s="3"/>
      <c r="I3578" s="3"/>
      <c r="J3578" s="3"/>
      <c r="K3578" s="3"/>
      <c r="L3578" s="3"/>
      <c r="M3578" s="3"/>
      <c r="N3578" s="3"/>
      <c r="O3578" s="3"/>
      <c r="P3578" s="3"/>
      <c r="Q3578" s="3"/>
      <c r="R3578" s="3"/>
      <c r="S3578" s="3"/>
      <c r="T3578" s="3"/>
      <c r="U3578" s="3"/>
      <c r="V3578" s="3"/>
      <c r="W3578" s="3"/>
      <c r="X3578" s="3"/>
      <c r="Y3578" s="3"/>
      <c r="Z3578" s="3"/>
    </row>
    <row r="3579" spans="1:26" ht="15.6" x14ac:dyDescent="0.3">
      <c r="A3579" s="18" t="s">
        <v>3</v>
      </c>
      <c r="B3579" s="25" t="s">
        <v>3566</v>
      </c>
      <c r="C3579" s="2" t="str">
        <f ca="1">IFERROR(__xludf.DUMMYFUNCTION("GOOGLETRANSLATE(B3579, ""bn"", ""en"")"),"Through religion people follow the path of self-purification. It helps him to be fulfilled and aware of his behavior and thoughts.")</f>
        <v>Through religion people follow the path of self-purification. It helps him to be fulfilled and aware of his behavior and thoughts.</v>
      </c>
      <c r="D3579" s="2"/>
      <c r="E3579" s="2"/>
      <c r="F3579" s="2"/>
      <c r="G3579" s="2"/>
      <c r="H3579" s="5"/>
      <c r="I3579" s="5"/>
      <c r="J3579" s="5"/>
      <c r="K3579" s="5"/>
      <c r="L3579" s="5"/>
      <c r="M3579" s="5"/>
      <c r="N3579" s="5"/>
      <c r="O3579" s="5"/>
      <c r="P3579" s="5"/>
      <c r="Q3579" s="5"/>
      <c r="R3579" s="5"/>
      <c r="S3579" s="5"/>
      <c r="T3579" s="5"/>
      <c r="U3579" s="5"/>
      <c r="V3579" s="5"/>
      <c r="W3579" s="5"/>
      <c r="X3579" s="5"/>
      <c r="Y3579" s="5"/>
      <c r="Z3579" s="5"/>
    </row>
    <row r="3580" spans="1:26" ht="15.6" x14ac:dyDescent="0.3">
      <c r="A3580" s="18" t="s">
        <v>8</v>
      </c>
      <c r="B3580" s="25" t="s">
        <v>3567</v>
      </c>
      <c r="C3580" s="2" t="str">
        <f ca="1">IFERROR(__xludf.DUMMYFUNCTION("GOOGLETRANSLATE(B3580, ""bn"", ""en"")"),"On March 17, 2021, hundreds of houses of the Hindu community were attacked in Noagaon village of Sunamganj on the charge of insulting popular Islamic scholar Mamunul Haque through social media by a Hindu youth.")</f>
        <v>On March 17, 2021, hundreds of houses of the Hindu community were attacked in Noagaon village of Sunamganj on the charge of insulting popular Islamic scholar Mamunul Haque through social media by a Hindu youth.</v>
      </c>
      <c r="D3580" s="6"/>
      <c r="E3580" s="6"/>
      <c r="F3580" s="6"/>
      <c r="G3580" s="2"/>
      <c r="H3580" s="5"/>
      <c r="I3580" s="5"/>
      <c r="J3580" s="5"/>
      <c r="K3580" s="5"/>
      <c r="L3580" s="5"/>
      <c r="M3580" s="5"/>
      <c r="N3580" s="5"/>
      <c r="O3580" s="5"/>
      <c r="P3580" s="5"/>
      <c r="Q3580" s="5"/>
      <c r="R3580" s="5"/>
      <c r="S3580" s="5"/>
      <c r="T3580" s="5"/>
      <c r="U3580" s="5"/>
      <c r="V3580" s="5"/>
      <c r="W3580" s="5"/>
      <c r="X3580" s="5"/>
      <c r="Y3580" s="5"/>
      <c r="Z3580" s="5"/>
    </row>
    <row r="3581" spans="1:26" ht="15.6" x14ac:dyDescent="0.3">
      <c r="A3581" s="18" t="s">
        <v>5</v>
      </c>
      <c r="B3581" s="24" t="s">
        <v>3568</v>
      </c>
      <c r="C3581" s="2" t="str">
        <f ca="1">IFERROR(__xludf.DUMMYFUNCTION("GOOGLETRANSLATE(B3581, ""bn"", ""en"")"),"In December 2019, a religious group denied admission to minority institutions; As a result 23 people committed suicide.")</f>
        <v>In December 2019, a religious group denied admission to minority institutions; As a result 23 people committed suicide.</v>
      </c>
      <c r="D3581" s="5"/>
      <c r="E3581" s="5"/>
      <c r="F3581" s="5"/>
      <c r="G3581" s="5"/>
      <c r="H3581" s="5"/>
      <c r="I3581" s="5"/>
      <c r="J3581" s="5"/>
      <c r="K3581" s="5"/>
      <c r="L3581" s="5"/>
      <c r="M3581" s="5"/>
      <c r="N3581" s="5"/>
      <c r="O3581" s="5"/>
      <c r="P3581" s="5"/>
      <c r="Q3581" s="5"/>
      <c r="R3581" s="5"/>
      <c r="S3581" s="5"/>
      <c r="T3581" s="5"/>
      <c r="U3581" s="5"/>
      <c r="V3581" s="5"/>
      <c r="W3581" s="5"/>
      <c r="X3581" s="5"/>
      <c r="Y3581" s="5"/>
      <c r="Z3581" s="5"/>
    </row>
    <row r="3582" spans="1:26" ht="15.6" x14ac:dyDescent="0.3">
      <c r="A3582" s="18" t="s">
        <v>8</v>
      </c>
      <c r="B3582" s="25" t="s">
        <v>3569</v>
      </c>
      <c r="C3582" s="2" t="str">
        <f ca="1">IFERROR(__xludf.DUMMYFUNCTION("GOOGLETRANSLATE(B3582, ""bn"", ""en"")"),"Extremists took about 50 cows, goats, chickens from Hindus, looted houses and temples and set them on fire, one temple was gutted.")</f>
        <v>Extremists took about 50 cows, goats, chickens from Hindus, looted houses and temples and set them on fire, one temple was gutted.</v>
      </c>
      <c r="D3582" s="2"/>
      <c r="E3582" s="2"/>
      <c r="F3582" s="2"/>
      <c r="G3582" s="2"/>
      <c r="H3582" s="3"/>
      <c r="I3582" s="3"/>
      <c r="J3582" s="3"/>
      <c r="K3582" s="3"/>
      <c r="L3582" s="3"/>
      <c r="M3582" s="3"/>
      <c r="N3582" s="3"/>
      <c r="O3582" s="3"/>
      <c r="P3582" s="3"/>
      <c r="Q3582" s="3"/>
      <c r="R3582" s="3"/>
      <c r="S3582" s="3"/>
      <c r="T3582" s="3"/>
      <c r="U3582" s="3"/>
      <c r="V3582" s="3"/>
      <c r="W3582" s="3"/>
      <c r="X3582" s="3"/>
      <c r="Y3582" s="3"/>
      <c r="Z3582" s="3"/>
    </row>
    <row r="3583" spans="1:26" ht="15.6" x14ac:dyDescent="0.3">
      <c r="A3583" s="18" t="s">
        <v>23</v>
      </c>
      <c r="B3583" s="24" t="s">
        <v>3570</v>
      </c>
      <c r="C3583" s="2" t="str">
        <f ca="1">IFERROR(__xludf.DUMMYFUNCTION("GOOGLETRANSLATE(B3583, ""bn"", ""en"")"),"Some people from the Christian community are destroying the culture of the country and creating division in the society through conversion.")</f>
        <v>Some people from the Christian community are destroying the culture of the country and creating division in the society through conversion.</v>
      </c>
      <c r="D3583" s="5"/>
      <c r="E3583" s="5"/>
      <c r="F3583" s="5"/>
      <c r="G3583" s="5"/>
      <c r="H3583" s="5"/>
      <c r="I3583" s="5"/>
      <c r="J3583" s="5"/>
      <c r="K3583" s="5"/>
      <c r="L3583" s="5"/>
      <c r="M3583" s="5"/>
      <c r="N3583" s="5"/>
      <c r="O3583" s="5"/>
      <c r="P3583" s="5"/>
      <c r="Q3583" s="5"/>
      <c r="R3583" s="5"/>
      <c r="S3583" s="5"/>
      <c r="T3583" s="5"/>
      <c r="U3583" s="5"/>
      <c r="V3583" s="5"/>
      <c r="W3583" s="5"/>
      <c r="X3583" s="5"/>
      <c r="Y3583" s="5"/>
      <c r="Z3583" s="5"/>
    </row>
    <row r="3584" spans="1:26" ht="15.6" x14ac:dyDescent="0.3">
      <c r="A3584" s="18" t="s">
        <v>3</v>
      </c>
      <c r="B3584" s="25" t="s">
        <v>3571</v>
      </c>
      <c r="C3584" s="2" t="str">
        <f ca="1">IFERROR(__xludf.DUMMYFUNCTION("GOOGLETRANSLATE(B3584, ""bn"", ""en"")"),"By trusting in Allah, we hope for positive change, because if there are good intentions, Allah surely gives good results.")</f>
        <v>By trusting in Allah, we hope for positive change, because if there are good intentions, Allah surely gives good results.</v>
      </c>
      <c r="D3584" s="5"/>
      <c r="E3584" s="5"/>
      <c r="F3584" s="5"/>
      <c r="G3584" s="5"/>
      <c r="H3584" s="5"/>
      <c r="I3584" s="5"/>
      <c r="J3584" s="5"/>
      <c r="K3584" s="5"/>
      <c r="L3584" s="5"/>
      <c r="M3584" s="5"/>
      <c r="N3584" s="5"/>
      <c r="O3584" s="5"/>
      <c r="P3584" s="5"/>
      <c r="Q3584" s="5"/>
      <c r="R3584" s="5"/>
      <c r="S3584" s="5"/>
      <c r="T3584" s="5"/>
      <c r="U3584" s="5"/>
      <c r="V3584" s="5"/>
      <c r="W3584" s="5"/>
      <c r="X3584" s="5"/>
      <c r="Y3584" s="5"/>
      <c r="Z3584" s="5"/>
    </row>
    <row r="3585" spans="1:26" ht="15.6" x14ac:dyDescent="0.3">
      <c r="A3585" s="18" t="s">
        <v>23</v>
      </c>
      <c r="B3585" s="25" t="s">
        <v>3572</v>
      </c>
      <c r="C3585" s="2" t="str">
        <f ca="1">IFERROR(__xludf.DUMMYFUNCTION("GOOGLETRANSLATE(B3585, ""bn"", ""en"")"),"Islamic militants who are creating terror all over the world.")</f>
        <v>Islamic militants who are creating terror all over the world.</v>
      </c>
      <c r="D3585" s="2"/>
      <c r="E3585" s="2"/>
      <c r="F3585" s="2"/>
      <c r="G3585" s="2"/>
      <c r="H3585" s="3"/>
      <c r="I3585" s="3"/>
      <c r="J3585" s="3"/>
      <c r="K3585" s="3"/>
      <c r="L3585" s="3"/>
      <c r="M3585" s="3"/>
      <c r="N3585" s="3"/>
      <c r="O3585" s="3"/>
      <c r="P3585" s="3"/>
      <c r="Q3585" s="3"/>
      <c r="R3585" s="3"/>
      <c r="S3585" s="3"/>
      <c r="T3585" s="3"/>
      <c r="U3585" s="3"/>
      <c r="V3585" s="3"/>
      <c r="W3585" s="3"/>
      <c r="X3585" s="3"/>
      <c r="Y3585" s="3"/>
      <c r="Z3585" s="3"/>
    </row>
    <row r="3586" spans="1:26" ht="15.6" x14ac:dyDescent="0.3">
      <c r="A3586" s="18" t="s">
        <v>5</v>
      </c>
      <c r="B3586" s="25" t="s">
        <v>3573</v>
      </c>
      <c r="C3586" s="2" t="str">
        <f ca="1">IFERROR(__xludf.DUMMYFUNCTION("GOOGLETRANSLATE(B3586, ""bn"", ""en"")"),"It is important to present the teachings of Islam in a clear and comprehensible manner in the Friday sermon of the mosque, or in the waj mahfil, to overcome these social problems and suicide.")</f>
        <v>It is important to present the teachings of Islam in a clear and comprehensible manner in the Friday sermon of the mosque, or in the waj mahfil, to overcome these social problems and suicide.</v>
      </c>
      <c r="D3586" s="5"/>
      <c r="E3586" s="5"/>
      <c r="F3586" s="5"/>
      <c r="G3586" s="5"/>
      <c r="H3586" s="5"/>
      <c r="I3586" s="5"/>
      <c r="J3586" s="5"/>
      <c r="K3586" s="5"/>
      <c r="L3586" s="5"/>
      <c r="M3586" s="5"/>
      <c r="N3586" s="5"/>
      <c r="O3586" s="5"/>
      <c r="P3586" s="5"/>
      <c r="Q3586" s="5"/>
      <c r="R3586" s="5"/>
      <c r="S3586" s="5"/>
      <c r="T3586" s="5"/>
      <c r="U3586" s="5"/>
      <c r="V3586" s="5"/>
      <c r="W3586" s="5"/>
      <c r="X3586" s="5"/>
      <c r="Y3586" s="5"/>
      <c r="Z3586" s="5"/>
    </row>
    <row r="3587" spans="1:26" ht="15.6" x14ac:dyDescent="0.3">
      <c r="A3587" s="18" t="s">
        <v>5</v>
      </c>
      <c r="B3587" s="24" t="s">
        <v>3574</v>
      </c>
      <c r="C3587" s="2" t="str">
        <f ca="1">IFERROR(__xludf.DUMMYFUNCTION("GOOGLETRANSLATE(B3587, ""bn"", ""en"")"),"A girl falls in love with a Muslim youth and her family declares her 'impure' and kills her; 13 people were killed in the protest.")</f>
        <v>A girl falls in love with a Muslim youth and her family declares her 'impure' and kills her; 13 people were killed in the protest.</v>
      </c>
      <c r="D3587" s="5"/>
      <c r="E3587" s="5"/>
      <c r="F3587" s="5"/>
      <c r="G3587" s="5"/>
      <c r="H3587" s="5"/>
      <c r="I3587" s="5"/>
      <c r="J3587" s="5"/>
      <c r="K3587" s="5"/>
      <c r="L3587" s="5"/>
      <c r="M3587" s="5"/>
      <c r="N3587" s="5"/>
      <c r="O3587" s="5"/>
      <c r="P3587" s="5"/>
      <c r="Q3587" s="5"/>
      <c r="R3587" s="5"/>
      <c r="S3587" s="5"/>
      <c r="T3587" s="5"/>
      <c r="U3587" s="5"/>
      <c r="V3587" s="5"/>
      <c r="W3587" s="5"/>
      <c r="X3587" s="5"/>
      <c r="Y3587" s="5"/>
      <c r="Z3587" s="5"/>
    </row>
    <row r="3588" spans="1:26" ht="15.6" x14ac:dyDescent="0.3">
      <c r="A3588" s="19" t="s">
        <v>8</v>
      </c>
      <c r="B3588" s="26" t="s">
        <v>3575</v>
      </c>
      <c r="C3588" s="2" t="str">
        <f ca="1">IFERROR(__xludf.DUMMYFUNCTION("GOOGLETRANSLATE(B3588, ""bn"", ""en"")"),"He claimed that 501 organized attacks, 56 temple attacks, vandalism and arson, 219 idols vandalized, 50 idols stolen, 77 people kidnapped, 15 people attempted to be kidnapped, have been reported in this year.")</f>
        <v>He claimed that 501 organized attacks, 56 temple attacks, vandalism and arson, 219 idols vandalized, 50 idols stolen, 77 people kidnapped, 15 people attempted to be kidnapped, have been reported in this year.</v>
      </c>
      <c r="D3588" s="5"/>
      <c r="E3588" s="5"/>
      <c r="F3588" s="5"/>
      <c r="G3588" s="5"/>
      <c r="H3588" s="5"/>
      <c r="I3588" s="5"/>
      <c r="J3588" s="5"/>
      <c r="K3588" s="5"/>
      <c r="L3588" s="5"/>
      <c r="M3588" s="5"/>
      <c r="N3588" s="5"/>
      <c r="O3588" s="5"/>
      <c r="P3588" s="5"/>
      <c r="Q3588" s="5"/>
      <c r="R3588" s="5"/>
      <c r="S3588" s="5"/>
      <c r="T3588" s="5"/>
      <c r="U3588" s="5"/>
      <c r="V3588" s="5"/>
      <c r="W3588" s="5"/>
      <c r="X3588" s="5"/>
      <c r="Y3588" s="5"/>
      <c r="Z3588" s="5"/>
    </row>
    <row r="3589" spans="1:26" ht="15.6" x14ac:dyDescent="0.3">
      <c r="A3589" s="19" t="s">
        <v>5</v>
      </c>
      <c r="B3589" s="26" t="s">
        <v>3576</v>
      </c>
      <c r="C3589" s="2" t="str">
        <f ca="1">IFERROR(__xludf.DUMMYFUNCTION("GOOGLETRANSLATE(B3589, ""bn"", ""en"")"),"According to official statistics, there were 6,933 incidents of communal violence between 1954 and 1982 and 1968 and 1980, in which a total of 3,999 people were killed, including 530 Hindus and 1,598 Muslims.")</f>
        <v>According to official statistics, there were 6,933 incidents of communal violence between 1954 and 1982 and 1968 and 1980, in which a total of 3,999 people were killed, including 530 Hindus and 1,598 Muslims.</v>
      </c>
      <c r="D3589" s="7"/>
      <c r="E3589" s="7"/>
      <c r="F3589" s="7"/>
      <c r="G3589" s="7"/>
      <c r="H3589" s="7"/>
      <c r="I3589" s="7"/>
      <c r="J3589" s="7"/>
      <c r="K3589" s="7"/>
      <c r="L3589" s="7"/>
      <c r="M3589" s="7"/>
      <c r="N3589" s="7"/>
      <c r="O3589" s="7"/>
      <c r="P3589" s="7"/>
      <c r="Q3589" s="7"/>
      <c r="R3589" s="7"/>
      <c r="S3589" s="5"/>
      <c r="T3589" s="5"/>
      <c r="U3589" s="5"/>
      <c r="V3589" s="5"/>
      <c r="W3589" s="5"/>
      <c r="X3589" s="5"/>
      <c r="Y3589" s="5"/>
      <c r="Z3589" s="5"/>
    </row>
    <row r="3590" spans="1:26" ht="15.6" x14ac:dyDescent="0.3">
      <c r="A3590" s="18" t="s">
        <v>5</v>
      </c>
      <c r="B3590" s="24" t="s">
        <v>3577</v>
      </c>
      <c r="C3590" s="2" t="str">
        <f ca="1">IFERROR(__xludf.DUMMYFUNCTION("GOOGLETRANSLATE(B3590, ""bn"", ""en"")"),"A group attacked a minority school, killing 24 students.")</f>
        <v>A group attacked a minority school, killing 24 students.</v>
      </c>
      <c r="D3590" s="5"/>
      <c r="E3590" s="5"/>
      <c r="F3590" s="5"/>
      <c r="G3590" s="5"/>
      <c r="H3590" s="5"/>
      <c r="I3590" s="5"/>
      <c r="J3590" s="5"/>
      <c r="K3590" s="5"/>
      <c r="L3590" s="5"/>
      <c r="M3590" s="5"/>
      <c r="N3590" s="5"/>
      <c r="O3590" s="5"/>
      <c r="P3590" s="5"/>
      <c r="Q3590" s="5"/>
      <c r="R3590" s="5"/>
      <c r="S3590" s="5"/>
      <c r="T3590" s="5"/>
      <c r="U3590" s="5"/>
      <c r="V3590" s="5"/>
      <c r="W3590" s="5"/>
      <c r="X3590" s="5"/>
      <c r="Y3590" s="5"/>
      <c r="Z3590" s="5"/>
    </row>
    <row r="3591" spans="1:26" ht="15.6" x14ac:dyDescent="0.3">
      <c r="A3591" s="18" t="s">
        <v>23</v>
      </c>
      <c r="B3591" s="25" t="s">
        <v>3578</v>
      </c>
      <c r="C3591" s="2" t="str">
        <f ca="1">IFERROR(__xludf.DUMMYFUNCTION("GOOGLETRANSLATE(B3591, ""bn"", ""en"")"),"A teenager named Paritosh Sarkar made an offensive comment on a picture of the Kaaba Sharif that hurt religious sentiments, creating religious tension in the village.")</f>
        <v>A teenager named Paritosh Sarkar made an offensive comment on a picture of the Kaaba Sharif that hurt religious sentiments, creating religious tension in the village.</v>
      </c>
      <c r="D3591" s="2"/>
      <c r="E3591" s="2"/>
      <c r="F3591" s="2"/>
      <c r="G3591" s="2"/>
      <c r="H3591" s="5"/>
      <c r="I3591" s="5"/>
      <c r="J3591" s="5"/>
      <c r="K3591" s="5"/>
      <c r="L3591" s="5"/>
      <c r="M3591" s="5"/>
      <c r="N3591" s="5"/>
      <c r="O3591" s="5"/>
      <c r="P3591" s="5"/>
      <c r="Q3591" s="5"/>
      <c r="R3591" s="5"/>
      <c r="S3591" s="5"/>
      <c r="T3591" s="5"/>
      <c r="U3591" s="5"/>
      <c r="V3591" s="5"/>
      <c r="W3591" s="5"/>
      <c r="X3591" s="5"/>
      <c r="Y3591" s="5"/>
      <c r="Z3591" s="5"/>
    </row>
    <row r="3592" spans="1:26" ht="15.6" x14ac:dyDescent="0.3">
      <c r="A3592" s="19" t="s">
        <v>23</v>
      </c>
      <c r="B3592" s="26" t="s">
        <v>3579</v>
      </c>
      <c r="C3592" s="2" t="str">
        <f ca="1">IFERROR(__xludf.DUMMYFUNCTION("GOOGLETRANSLATE(B3592, ""bn"", ""en"")"),"Why is the Arab world silent now? May Allah not forgive the wrongdoers, help the oppressed Muslims.")</f>
        <v>Why is the Arab world silent now? May Allah not forgive the wrongdoers, help the oppressed Muslims.</v>
      </c>
      <c r="D3592" s="7"/>
      <c r="E3592" s="7"/>
      <c r="F3592" s="7"/>
      <c r="G3592" s="5"/>
      <c r="H3592" s="5"/>
      <c r="I3592" s="5"/>
      <c r="J3592" s="5"/>
      <c r="K3592" s="5"/>
      <c r="L3592" s="5"/>
      <c r="M3592" s="5"/>
      <c r="N3592" s="5"/>
      <c r="O3592" s="5"/>
      <c r="P3592" s="5"/>
      <c r="Q3592" s="5"/>
      <c r="R3592" s="5"/>
      <c r="S3592" s="5"/>
      <c r="T3592" s="5"/>
      <c r="U3592" s="5"/>
      <c r="V3592" s="5"/>
      <c r="W3592" s="5"/>
      <c r="X3592" s="5"/>
      <c r="Y3592" s="5"/>
      <c r="Z3592" s="5"/>
    </row>
    <row r="3593" spans="1:26" ht="15.6" x14ac:dyDescent="0.3">
      <c r="A3593" s="19" t="s">
        <v>8</v>
      </c>
      <c r="B3593" s="26" t="s">
        <v>3580</v>
      </c>
      <c r="C3593" s="2" t="str">
        <f ca="1">IFERROR(__xludf.DUMMYFUNCTION("GOOGLETRANSLATE(B3593, ""bn"", ""en"")"),"In Sweden, Muslim women have had their headscarves pulled and physically assaulted in public.")</f>
        <v>In Sweden, Muslim women have had their headscarves pulled and physically assaulted in public.</v>
      </c>
      <c r="D3593" s="5"/>
      <c r="E3593" s="5"/>
      <c r="F3593" s="5"/>
      <c r="G3593" s="5"/>
      <c r="H3593" s="5"/>
      <c r="I3593" s="5"/>
      <c r="J3593" s="5"/>
      <c r="K3593" s="5"/>
      <c r="L3593" s="5"/>
      <c r="M3593" s="5"/>
      <c r="N3593" s="5"/>
      <c r="O3593" s="5"/>
      <c r="P3593" s="5"/>
      <c r="Q3593" s="5"/>
      <c r="R3593" s="5"/>
      <c r="S3593" s="5"/>
      <c r="T3593" s="5"/>
      <c r="U3593" s="5"/>
      <c r="V3593" s="5"/>
      <c r="W3593" s="5"/>
      <c r="X3593" s="5"/>
      <c r="Y3593" s="5"/>
      <c r="Z3593" s="5"/>
    </row>
    <row r="3594" spans="1:26" ht="15.6" x14ac:dyDescent="0.3">
      <c r="A3594" s="19" t="s">
        <v>3</v>
      </c>
      <c r="B3594" s="26" t="s">
        <v>3581</v>
      </c>
      <c r="C3594" s="2" t="str">
        <f ca="1">IFERROR(__xludf.DUMMYFUNCTION("GOOGLETRANSLATE(B3594, ""bn"", ""en"")"),"ISKCON members spread their doctrine through mantras and seminars on the streets outside the temples.")</f>
        <v>ISKCON members spread their doctrine through mantras and seminars on the streets outside the temples.</v>
      </c>
      <c r="D3594" s="7"/>
      <c r="E3594" s="7"/>
      <c r="F3594" s="5"/>
      <c r="G3594" s="5"/>
      <c r="H3594" s="5"/>
      <c r="I3594" s="5"/>
      <c r="J3594" s="5"/>
      <c r="K3594" s="5"/>
      <c r="L3594" s="5"/>
      <c r="M3594" s="5"/>
      <c r="N3594" s="5"/>
      <c r="O3594" s="5"/>
      <c r="P3594" s="5"/>
      <c r="Q3594" s="5"/>
      <c r="R3594" s="5"/>
      <c r="S3594" s="5"/>
      <c r="T3594" s="5"/>
      <c r="U3594" s="5"/>
      <c r="V3594" s="5"/>
      <c r="W3594" s="5"/>
      <c r="X3594" s="5"/>
      <c r="Y3594" s="5"/>
      <c r="Z3594" s="5"/>
    </row>
    <row r="3595" spans="1:26" ht="15.6" x14ac:dyDescent="0.3">
      <c r="A3595" s="18" t="s">
        <v>23</v>
      </c>
      <c r="B3595" s="25" t="s">
        <v>3582</v>
      </c>
      <c r="C3595" s="2" t="str">
        <f ca="1">IFERROR(__xludf.DUMMYFUNCTION("GOOGLETRANSLATE(B3595, ""bn"", ""en"")"),"Where do they get the courage to expel students for reciting the Quran in a country of 90% Muslims to please the left, atheists and grandfathers?")</f>
        <v>Where do they get the courage to expel students for reciting the Quran in a country of 90% Muslims to please the left, atheists and grandfathers?</v>
      </c>
      <c r="D3595" s="2"/>
      <c r="E3595" s="2"/>
      <c r="F3595" s="2"/>
      <c r="G3595" s="2"/>
      <c r="H3595" s="5"/>
      <c r="I3595" s="5"/>
      <c r="J3595" s="5"/>
      <c r="K3595" s="5"/>
      <c r="L3595" s="5"/>
      <c r="M3595" s="5"/>
      <c r="N3595" s="5"/>
      <c r="O3595" s="5"/>
      <c r="P3595" s="5"/>
      <c r="Q3595" s="5"/>
      <c r="R3595" s="5"/>
      <c r="S3595" s="5"/>
      <c r="T3595" s="5"/>
      <c r="U3595" s="5"/>
      <c r="V3595" s="5"/>
      <c r="W3595" s="5"/>
      <c r="X3595" s="5"/>
      <c r="Y3595" s="5"/>
      <c r="Z3595" s="5"/>
    </row>
    <row r="3596" spans="1:26" ht="15.6" x14ac:dyDescent="0.3">
      <c r="A3596" s="19" t="s">
        <v>5</v>
      </c>
      <c r="B3596" s="26" t="s">
        <v>3583</v>
      </c>
      <c r="C3596" s="2" t="str">
        <f ca="1">IFERROR(__xludf.DUMMYFUNCTION("GOOGLETRANSLATE(B3596, ""bn"", ""en"")"),"Hundreds of Hindus who had taken refuge at the Muladi Police Station in Barisal's seaport were brutally killed by Muslims in the police station compound.")</f>
        <v>Hundreds of Hindus who had taken refuge at the Muladi Police Station in Barisal's seaport were brutally killed by Muslims in the police station compound.</v>
      </c>
      <c r="D3596" s="7"/>
      <c r="E3596" s="7"/>
      <c r="F3596" s="7"/>
      <c r="G3596" s="7"/>
      <c r="H3596" s="7"/>
      <c r="I3596" s="7"/>
      <c r="J3596" s="5"/>
      <c r="K3596" s="5"/>
      <c r="L3596" s="5"/>
      <c r="M3596" s="5"/>
      <c r="N3596" s="5"/>
      <c r="O3596" s="5"/>
      <c r="P3596" s="5"/>
      <c r="Q3596" s="5"/>
      <c r="R3596" s="5"/>
      <c r="S3596" s="5"/>
      <c r="T3596" s="5"/>
      <c r="U3596" s="5"/>
      <c r="V3596" s="5"/>
      <c r="W3596" s="5"/>
      <c r="X3596" s="5"/>
      <c r="Y3596" s="5"/>
      <c r="Z3596" s="5"/>
    </row>
    <row r="3597" spans="1:26" ht="15.6" x14ac:dyDescent="0.3">
      <c r="A3597" s="18" t="s">
        <v>5</v>
      </c>
      <c r="B3597" s="24" t="s">
        <v>3584</v>
      </c>
      <c r="C3597" s="2" t="str">
        <f ca="1">IFERROR(__xludf.DUMMYFUNCTION("GOOGLETRANSLATE(B3597, ""bn"", ""en"")"),"41 people lost their lives in Brahmanbaria clashes. Police failed to provide security. Many families become homeless.")</f>
        <v>41 people lost their lives in Brahmanbaria clashes. Police failed to provide security. Many families become homeless.</v>
      </c>
      <c r="D3597" s="5"/>
      <c r="E3597" s="5"/>
      <c r="F3597" s="5"/>
      <c r="G3597" s="5"/>
      <c r="H3597" s="5"/>
      <c r="I3597" s="5"/>
      <c r="J3597" s="5"/>
      <c r="K3597" s="5"/>
      <c r="L3597" s="5"/>
      <c r="M3597" s="5"/>
      <c r="N3597" s="5"/>
      <c r="O3597" s="5"/>
      <c r="P3597" s="5"/>
      <c r="Q3597" s="5"/>
      <c r="R3597" s="5"/>
      <c r="S3597" s="5"/>
      <c r="T3597" s="5"/>
      <c r="U3597" s="5"/>
      <c r="V3597" s="5"/>
      <c r="W3597" s="5"/>
      <c r="X3597" s="5"/>
      <c r="Y3597" s="5"/>
      <c r="Z3597" s="5"/>
    </row>
    <row r="3598" spans="1:26" ht="15.6" x14ac:dyDescent="0.3">
      <c r="A3598" s="18" t="s">
        <v>5</v>
      </c>
      <c r="B3598" s="25" t="s">
        <v>3585</v>
      </c>
      <c r="C3598" s="2" t="str">
        <f ca="1">IFERROR(__xludf.DUMMYFUNCTION("GOOGLETRANSLATE(B3598, ""bn"", ""en"")"),"A Muslim named Muhammad Akhlaq was brutally beaten to death for allegedly eating beef, after which several others in the area were forced to flee in fear.")</f>
        <v>A Muslim named Muhammad Akhlaq was brutally beaten to death for allegedly eating beef, after which several others in the area were forced to flee in fear.</v>
      </c>
      <c r="D3598" s="5"/>
      <c r="E3598" s="5"/>
      <c r="F3598" s="5"/>
      <c r="G3598" s="5"/>
      <c r="H3598" s="5"/>
      <c r="I3598" s="5"/>
      <c r="J3598" s="5"/>
      <c r="K3598" s="5"/>
      <c r="L3598" s="5"/>
      <c r="M3598" s="5"/>
      <c r="N3598" s="5"/>
      <c r="O3598" s="5"/>
      <c r="P3598" s="5"/>
      <c r="Q3598" s="5"/>
      <c r="R3598" s="5"/>
      <c r="S3598" s="5"/>
      <c r="T3598" s="5"/>
      <c r="U3598" s="5"/>
      <c r="V3598" s="5"/>
      <c r="W3598" s="5"/>
      <c r="X3598" s="5"/>
      <c r="Y3598" s="5"/>
      <c r="Z3598" s="5"/>
    </row>
    <row r="3599" spans="1:26" ht="15.6" x14ac:dyDescent="0.3">
      <c r="A3599" s="18" t="s">
        <v>23</v>
      </c>
      <c r="B3599" s="25" t="s">
        <v>3586</v>
      </c>
      <c r="C3599" s="2" t="str">
        <f ca="1">IFERROR(__xludf.DUMMYFUNCTION("GOOGLETRANSLATE(B3599, ""bn"", ""en"")"),"Who is this person to say that Taskin's wife will wear a burqa or something else? If it were any other religion, this story would have been spread for a long time.")</f>
        <v>Who is this person to say that Taskin's wife will wear a burqa or something else? If it were any other religion, this story would have been spread for a long time.</v>
      </c>
      <c r="D3599" s="5"/>
      <c r="E3599" s="5"/>
      <c r="F3599" s="5"/>
      <c r="G3599" s="5"/>
      <c r="H3599" s="5"/>
      <c r="I3599" s="5"/>
      <c r="J3599" s="5"/>
      <c r="K3599" s="5"/>
      <c r="L3599" s="5"/>
      <c r="M3599" s="5"/>
      <c r="N3599" s="5"/>
      <c r="O3599" s="5"/>
      <c r="P3599" s="5"/>
      <c r="Q3599" s="5"/>
      <c r="R3599" s="5"/>
      <c r="S3599" s="5"/>
      <c r="T3599" s="5"/>
      <c r="U3599" s="5"/>
      <c r="V3599" s="5"/>
      <c r="W3599" s="5"/>
      <c r="X3599" s="5"/>
      <c r="Y3599" s="5"/>
      <c r="Z3599" s="5"/>
    </row>
    <row r="3600" spans="1:26" ht="15.6" x14ac:dyDescent="0.3">
      <c r="A3600" s="18" t="s">
        <v>23</v>
      </c>
      <c r="B3600" s="25" t="s">
        <v>3587</v>
      </c>
      <c r="C3600" s="2" t="str">
        <f ca="1">IFERROR(__xludf.DUMMYFUNCTION("GOOGLETRANSLATE(B3600, ""bn"", ""en"")"),"Our identity in their eyes is that we are 'fanatics'. We are religious. From TV channels to government institutions everywhere, they continue to use all their tactics to keep us and our organization Lifespring in isolation.")</f>
        <v>Our identity in their eyes is that we are 'fanatics'. We are religious. From TV channels to government institutions everywhere, they continue to use all their tactics to keep us and our organization Lifespring in isolation.</v>
      </c>
      <c r="D3600" s="5"/>
      <c r="E3600" s="5"/>
      <c r="F3600" s="5"/>
      <c r="G3600" s="5"/>
      <c r="H3600" s="5"/>
      <c r="I3600" s="5"/>
      <c r="J3600" s="5"/>
      <c r="K3600" s="5"/>
      <c r="L3600" s="5"/>
      <c r="M3600" s="5"/>
      <c r="N3600" s="5"/>
      <c r="O3600" s="5"/>
      <c r="P3600" s="5"/>
      <c r="Q3600" s="5"/>
      <c r="R3600" s="5"/>
      <c r="S3600" s="5"/>
      <c r="T3600" s="5"/>
      <c r="U3600" s="5"/>
      <c r="V3600" s="5"/>
      <c r="W3600" s="5"/>
      <c r="X3600" s="5"/>
      <c r="Y3600" s="5"/>
      <c r="Z3600" s="5"/>
    </row>
    <row r="3601" spans="1:26" ht="15.6" x14ac:dyDescent="0.3">
      <c r="A3601" s="18" t="s">
        <v>3</v>
      </c>
      <c r="B3601" s="24" t="s">
        <v>3588</v>
      </c>
      <c r="C3601" s="2" t="str">
        <f ca="1">IFERROR(__xludf.DUMMYFUNCTION("GOOGLETRANSLATE(B3601, ""bn"", ""en"")"),"Self-purification and self-restraint is one of the core teachings of Dharma.")</f>
        <v>Self-purification and self-restraint is one of the core teachings of Dharma.</v>
      </c>
      <c r="D3601" s="5"/>
      <c r="E3601" s="5"/>
      <c r="F3601" s="5"/>
      <c r="G3601" s="5"/>
      <c r="H3601" s="5"/>
      <c r="I3601" s="5"/>
      <c r="J3601" s="5"/>
      <c r="K3601" s="5"/>
      <c r="L3601" s="5"/>
      <c r="M3601" s="5"/>
      <c r="N3601" s="5"/>
      <c r="O3601" s="5"/>
      <c r="P3601" s="5"/>
      <c r="Q3601" s="5"/>
      <c r="R3601" s="5"/>
      <c r="S3601" s="5"/>
      <c r="T3601" s="5"/>
      <c r="U3601" s="5"/>
      <c r="V3601" s="5"/>
      <c r="W3601" s="5"/>
      <c r="X3601" s="5"/>
      <c r="Y3601" s="5"/>
      <c r="Z3601" s="5"/>
    </row>
    <row r="3602" spans="1:26" ht="15.6" x14ac:dyDescent="0.3">
      <c r="A3602" s="18" t="s">
        <v>5</v>
      </c>
      <c r="B3602" s="24" t="s">
        <v>3589</v>
      </c>
      <c r="C3602" s="2" t="str">
        <f ca="1">IFERROR(__xludf.DUMMYFUNCTION("GOOGLETRANSLATE(B3602, ""bn"", ""en"")"),"A group of religious dissidents attacked a mosque and killed 27 Muslims.")</f>
        <v>A group of religious dissidents attacked a mosque and killed 27 Muslims.</v>
      </c>
      <c r="D3602" s="5"/>
      <c r="E3602" s="5"/>
      <c r="F3602" s="5"/>
      <c r="G3602" s="5"/>
      <c r="H3602" s="5"/>
      <c r="I3602" s="5"/>
      <c r="J3602" s="5"/>
      <c r="K3602" s="5"/>
      <c r="L3602" s="5"/>
      <c r="M3602" s="5"/>
      <c r="N3602" s="5"/>
      <c r="O3602" s="5"/>
      <c r="P3602" s="5"/>
      <c r="Q3602" s="5"/>
      <c r="R3602" s="5"/>
      <c r="S3602" s="5"/>
      <c r="T3602" s="5"/>
      <c r="U3602" s="5"/>
      <c r="V3602" s="5"/>
      <c r="W3602" s="5"/>
      <c r="X3602" s="5"/>
      <c r="Y3602" s="5"/>
      <c r="Z3602" s="5"/>
    </row>
    <row r="3603" spans="1:26" ht="15.6" x14ac:dyDescent="0.3">
      <c r="A3603" s="18" t="s">
        <v>8</v>
      </c>
      <c r="B3603" s="25" t="s">
        <v>3590</v>
      </c>
      <c r="C3603" s="2" t="str">
        <f ca="1">IFERROR(__xludf.DUMMYFUNCTION("GOOGLETRANSLATE(B3603, ""bn"", ""en"")"),"On March 7, an idol of the Hindu goddess Kali was vandalized and a Hindu temple set on fire in Hatibandha upazila of Lalmonirhat.")</f>
        <v>On March 7, an idol of the Hindu goddess Kali was vandalized and a Hindu temple set on fire in Hatibandha upazila of Lalmonirhat.</v>
      </c>
      <c r="D3603" s="5"/>
      <c r="E3603" s="5"/>
      <c r="F3603" s="5"/>
      <c r="G3603" s="5"/>
      <c r="H3603" s="5"/>
      <c r="I3603" s="5"/>
      <c r="J3603" s="5"/>
      <c r="K3603" s="5"/>
      <c r="L3603" s="5"/>
      <c r="M3603" s="5"/>
      <c r="N3603" s="5"/>
      <c r="O3603" s="5"/>
      <c r="P3603" s="5"/>
      <c r="Q3603" s="5"/>
      <c r="R3603" s="5"/>
      <c r="S3603" s="5"/>
      <c r="T3603" s="5"/>
      <c r="U3603" s="5"/>
      <c r="V3603" s="5"/>
      <c r="W3603" s="5"/>
      <c r="X3603" s="5"/>
      <c r="Y3603" s="5"/>
      <c r="Z3603" s="5"/>
    </row>
    <row r="3604" spans="1:26" ht="15.6" x14ac:dyDescent="0.3">
      <c r="A3604" s="18" t="s">
        <v>5</v>
      </c>
      <c r="B3604" s="24" t="s">
        <v>3591</v>
      </c>
      <c r="C3604" s="2" t="str">
        <f ca="1">IFERROR(__xludf.DUMMYFUNCTION("GOOGLETRANSLATE(B3604, ""bn"", ""en"")"),"A group opened fire at a religious fair, killing 18 people.")</f>
        <v>A group opened fire at a religious fair, killing 18 people.</v>
      </c>
      <c r="D3604" s="5"/>
      <c r="E3604" s="5"/>
      <c r="F3604" s="5"/>
      <c r="G3604" s="5"/>
      <c r="H3604" s="5"/>
      <c r="I3604" s="5"/>
      <c r="J3604" s="5"/>
      <c r="K3604" s="5"/>
      <c r="L3604" s="5"/>
      <c r="M3604" s="5"/>
      <c r="N3604" s="5"/>
      <c r="O3604" s="5"/>
      <c r="P3604" s="5"/>
      <c r="Q3604" s="5"/>
      <c r="R3604" s="5"/>
      <c r="S3604" s="5"/>
      <c r="T3604" s="5"/>
      <c r="U3604" s="5"/>
      <c r="V3604" s="5"/>
      <c r="W3604" s="5"/>
      <c r="X3604" s="5"/>
      <c r="Y3604" s="5"/>
      <c r="Z3604" s="5"/>
    </row>
    <row r="3605" spans="1:26" ht="15.6" x14ac:dyDescent="0.3">
      <c r="A3605" s="18" t="s">
        <v>8</v>
      </c>
      <c r="B3605" s="25" t="s">
        <v>3592</v>
      </c>
      <c r="C3605" s="2" t="str">
        <f ca="1">IFERROR(__xludf.DUMMYFUNCTION("GOOGLETRANSLATE(B3605, ""bn"", ""en"")"),"During the attack, idols, pujamandap were vandalized and Hindus were beaten. The attackers threw the Durga idol of the pujamandap on the north bank of Nanua Dighi in Comilla into a nearby pond on Wednesday evening.")</f>
        <v>During the attack, idols, pujamandap were vandalized and Hindus were beaten. The attackers threw the Durga idol of the pujamandap on the north bank of Nanua Dighi in Comilla into a nearby pond on Wednesday evening.</v>
      </c>
      <c r="D3605" s="5"/>
      <c r="E3605" s="5"/>
      <c r="F3605" s="5"/>
      <c r="G3605" s="5"/>
      <c r="H3605" s="5"/>
      <c r="I3605" s="5"/>
      <c r="J3605" s="5"/>
      <c r="K3605" s="5"/>
      <c r="L3605" s="5"/>
      <c r="M3605" s="5"/>
      <c r="N3605" s="5"/>
      <c r="O3605" s="5"/>
      <c r="P3605" s="5"/>
      <c r="Q3605" s="5"/>
      <c r="R3605" s="5"/>
      <c r="S3605" s="5"/>
      <c r="T3605" s="5"/>
      <c r="U3605" s="5"/>
      <c r="V3605" s="5"/>
      <c r="W3605" s="5"/>
      <c r="X3605" s="5"/>
      <c r="Y3605" s="5"/>
      <c r="Z3605" s="5"/>
    </row>
    <row r="3606" spans="1:26" ht="15.6" x14ac:dyDescent="0.3">
      <c r="A3606" s="18" t="s">
        <v>23</v>
      </c>
      <c r="B3606" s="25" t="s">
        <v>3593</v>
      </c>
      <c r="C3606" s="2" t="str">
        <f ca="1">IFERROR(__xludf.DUMMYFUNCTION("GOOGLETRANSLATE(B3606, ""bn"", ""en"")"),"Now I ask him, how is he sure that someone from the Hindu community has insulted Islam on Facebook?")</f>
        <v>Now I ask him, how is he sure that someone from the Hindu community has insulted Islam on Facebook?</v>
      </c>
      <c r="D3606" s="5"/>
      <c r="E3606" s="5"/>
      <c r="F3606" s="5"/>
      <c r="G3606" s="5"/>
      <c r="H3606" s="5"/>
      <c r="I3606" s="5"/>
      <c r="J3606" s="5"/>
      <c r="K3606" s="5"/>
      <c r="L3606" s="5"/>
      <c r="M3606" s="5"/>
      <c r="N3606" s="5"/>
      <c r="O3606" s="5"/>
      <c r="P3606" s="5"/>
      <c r="Q3606" s="5"/>
      <c r="R3606" s="5"/>
      <c r="S3606" s="5"/>
      <c r="T3606" s="5"/>
      <c r="U3606" s="5"/>
      <c r="V3606" s="5"/>
      <c r="W3606" s="5"/>
      <c r="X3606" s="5"/>
      <c r="Y3606" s="5"/>
      <c r="Z3606" s="5"/>
    </row>
    <row r="3607" spans="1:26" ht="15.6" x14ac:dyDescent="0.3">
      <c r="A3607" s="19" t="s">
        <v>5</v>
      </c>
      <c r="B3607" s="26" t="s">
        <v>3594</v>
      </c>
      <c r="C3607" s="2" t="str">
        <f ca="1">IFERROR(__xludf.DUMMYFUNCTION("GOOGLETRANSLATE(B3607, ""bn"", ""en"")"),"A 3,000 strong armed Muslim mob attacked the warehouse around 12 noon on the signal of the OC. More than 700 men and elderly women were massacred and their bodies dumped in the river. The remaining women were taken to a shed in Mukteshwar Saha and forced "&amp;"to recite Kalma. After that 50 women were distributed among the party leaders.")</f>
        <v>A 3,000 strong armed Muslim mob attacked the warehouse around 12 noon on the signal of the OC. More than 700 men and elderly women were massacred and their bodies dumped in the river. The remaining women were taken to a shed in Mukteshwar Saha and forced to recite Kalma. After that 50 women were distributed among the party leaders.</v>
      </c>
      <c r="D3607" s="7"/>
      <c r="E3607" s="7"/>
      <c r="F3607" s="7"/>
      <c r="G3607" s="7"/>
      <c r="H3607" s="7"/>
      <c r="I3607" s="7"/>
      <c r="J3607" s="7"/>
      <c r="K3607" s="7"/>
      <c r="L3607" s="7"/>
      <c r="M3607" s="7"/>
      <c r="N3607" s="7"/>
      <c r="O3607" s="7"/>
      <c r="P3607" s="7"/>
      <c r="Q3607" s="7"/>
      <c r="R3607" s="5"/>
      <c r="S3607" s="5"/>
      <c r="T3607" s="5"/>
      <c r="U3607" s="5"/>
      <c r="V3607" s="5"/>
      <c r="W3607" s="5"/>
      <c r="X3607" s="5"/>
      <c r="Y3607" s="5"/>
      <c r="Z3607" s="5"/>
    </row>
    <row r="3608" spans="1:26" ht="15.6" x14ac:dyDescent="0.3">
      <c r="A3608" s="18" t="s">
        <v>23</v>
      </c>
      <c r="B3608" s="25" t="s">
        <v>3595</v>
      </c>
      <c r="C3608" s="2" t="str">
        <f ca="1">IFERROR(__xludf.DUMMYFUNCTION("GOOGLETRANSLATE(B3608, ""bn"", ""en"")"),"Nabi's cartoon: Islamists protest massively in Kurigram over 'insulting' Islam.")</f>
        <v>Nabi's cartoon: Islamists protest massively in Kurigram over 'insulting' Islam.</v>
      </c>
      <c r="D3608" s="2"/>
      <c r="E3608" s="2"/>
      <c r="F3608" s="2"/>
      <c r="G3608" s="2"/>
      <c r="H3608" s="3"/>
      <c r="I3608" s="3"/>
      <c r="J3608" s="3"/>
      <c r="K3608" s="3"/>
      <c r="L3608" s="3"/>
      <c r="M3608" s="3"/>
      <c r="N3608" s="3"/>
      <c r="O3608" s="3"/>
      <c r="P3608" s="3"/>
      <c r="Q3608" s="3"/>
      <c r="R3608" s="3"/>
      <c r="S3608" s="3"/>
      <c r="T3608" s="3"/>
      <c r="U3608" s="3"/>
      <c r="V3608" s="3"/>
      <c r="W3608" s="3"/>
      <c r="X3608" s="3"/>
      <c r="Y3608" s="3"/>
      <c r="Z3608" s="3"/>
    </row>
    <row r="3609" spans="1:26" ht="15.6" x14ac:dyDescent="0.3">
      <c r="A3609" s="19" t="s">
        <v>3</v>
      </c>
      <c r="B3609" s="26" t="s">
        <v>3596</v>
      </c>
      <c r="C3609" s="2" t="str">
        <f ca="1">IFERROR(__xludf.DUMMYFUNCTION("GOOGLETRANSLATE(B3609, ""bn"", ""en"")"),"Religion is an idea that has been passed down from generation to generation since ancient times, accepted as truth; No specific religion is mentioned.")</f>
        <v>Religion is an idea that has been passed down from generation to generation since ancient times, accepted as truth; No specific religion is mentioned.</v>
      </c>
      <c r="D3609" s="7"/>
      <c r="E3609" s="7"/>
      <c r="F3609" s="7"/>
      <c r="G3609" s="7"/>
      <c r="H3609" s="7"/>
      <c r="I3609" s="7"/>
      <c r="J3609" s="5"/>
      <c r="K3609" s="5"/>
      <c r="L3609" s="5"/>
      <c r="M3609" s="5"/>
      <c r="N3609" s="5"/>
      <c r="O3609" s="5"/>
      <c r="P3609" s="5"/>
      <c r="Q3609" s="5"/>
      <c r="R3609" s="5"/>
      <c r="S3609" s="5"/>
      <c r="T3609" s="5"/>
      <c r="U3609" s="5"/>
      <c r="V3609" s="5"/>
      <c r="W3609" s="5"/>
      <c r="X3609" s="5"/>
      <c r="Y3609" s="5"/>
      <c r="Z3609" s="5"/>
    </row>
    <row r="3610" spans="1:26" ht="15.6" x14ac:dyDescent="0.3">
      <c r="A3610" s="18" t="s">
        <v>23</v>
      </c>
      <c r="B3610" s="24" t="s">
        <v>3597</v>
      </c>
      <c r="C3610" s="2" t="str">
        <f ca="1">IFERROR(__xludf.DUMMYFUNCTION("GOOGLETRANSLATE(B3610, ""bn"", ""en"")"),"Some young Buddhists make derogatory comments about other religions on religious platforms which undermine religious peace.")</f>
        <v>Some young Buddhists make derogatory comments about other religions on religious platforms which undermine religious peace.</v>
      </c>
      <c r="D3610" s="5"/>
      <c r="E3610" s="5"/>
      <c r="F3610" s="5"/>
      <c r="G3610" s="5"/>
      <c r="H3610" s="5"/>
      <c r="I3610" s="5"/>
      <c r="J3610" s="5"/>
      <c r="K3610" s="5"/>
      <c r="L3610" s="5"/>
      <c r="M3610" s="5"/>
      <c r="N3610" s="5"/>
      <c r="O3610" s="5"/>
      <c r="P3610" s="5"/>
      <c r="Q3610" s="5"/>
      <c r="R3610" s="5"/>
      <c r="S3610" s="5"/>
      <c r="T3610" s="5"/>
      <c r="U3610" s="5"/>
      <c r="V3610" s="5"/>
      <c r="W3610" s="5"/>
      <c r="X3610" s="5"/>
      <c r="Y3610" s="5"/>
      <c r="Z3610" s="5"/>
    </row>
    <row r="3611" spans="1:26" ht="15.6" x14ac:dyDescent="0.3">
      <c r="A3611" s="18" t="s">
        <v>8</v>
      </c>
      <c r="B3611" s="25" t="s">
        <v>3598</v>
      </c>
      <c r="C3611" s="2" t="str">
        <f ca="1">IFERROR(__xludf.DUMMYFUNCTION("GOOGLETRANSLATE(B3611, ""bn"", ""en"")"),"On the morning of 17th February, panic-stricken Hindus and Christians started running towards Muladi police station. Around 3 pm, a 3,000 to 4,000 strong mob attacked and looted warehouses at Muladi port.")</f>
        <v>On the morning of 17th February, panic-stricken Hindus and Christians started running towards Muladi police station. Around 3 pm, a 3,000 to 4,000 strong mob attacked and looted warehouses at Muladi port.</v>
      </c>
      <c r="D3611" s="6"/>
      <c r="E3611" s="2"/>
      <c r="F3611" s="2"/>
      <c r="G3611" s="2"/>
      <c r="H3611" s="5"/>
      <c r="I3611" s="5"/>
      <c r="J3611" s="5"/>
      <c r="K3611" s="5"/>
      <c r="L3611" s="5"/>
      <c r="M3611" s="5"/>
      <c r="N3611" s="5"/>
      <c r="O3611" s="5"/>
      <c r="P3611" s="5"/>
      <c r="Q3611" s="5"/>
      <c r="R3611" s="5"/>
      <c r="S3611" s="5"/>
      <c r="T3611" s="5"/>
      <c r="U3611" s="5"/>
      <c r="V3611" s="5"/>
      <c r="W3611" s="5"/>
      <c r="X3611" s="5"/>
      <c r="Y3611" s="5"/>
      <c r="Z3611" s="5"/>
    </row>
    <row r="3612" spans="1:26" ht="15.6" x14ac:dyDescent="0.3">
      <c r="A3612" s="18" t="s">
        <v>5</v>
      </c>
      <c r="B3612" s="24" t="s">
        <v>3599</v>
      </c>
      <c r="C3612" s="2" t="str">
        <f ca="1">IFERROR(__xludf.DUMMYFUNCTION("GOOGLETRANSLATE(B3612, ""bn"", ""en"")"),"In November 2018, a religious group attacked an artist's exhibition for allegedly hurting religious sentiments and seriously injured 16 others.")</f>
        <v>In November 2018, a religious group attacked an artist's exhibition for allegedly hurting religious sentiments and seriously injured 16 others.</v>
      </c>
      <c r="D3612" s="5"/>
      <c r="E3612" s="5"/>
      <c r="F3612" s="5"/>
      <c r="G3612" s="5"/>
      <c r="H3612" s="5"/>
      <c r="I3612" s="5"/>
      <c r="J3612" s="5"/>
      <c r="K3612" s="5"/>
      <c r="L3612" s="5"/>
      <c r="M3612" s="5"/>
      <c r="N3612" s="5"/>
      <c r="O3612" s="5"/>
      <c r="P3612" s="5"/>
      <c r="Q3612" s="5"/>
      <c r="R3612" s="5"/>
      <c r="S3612" s="5"/>
      <c r="T3612" s="5"/>
      <c r="U3612" s="5"/>
      <c r="V3612" s="5"/>
      <c r="W3612" s="5"/>
      <c r="X3612" s="5"/>
      <c r="Y3612" s="5"/>
      <c r="Z3612" s="5"/>
    </row>
    <row r="3613" spans="1:26" ht="15.6" x14ac:dyDescent="0.3">
      <c r="A3613" s="18" t="s">
        <v>5</v>
      </c>
      <c r="B3613" s="24" t="s">
        <v>3600</v>
      </c>
      <c r="C3613" s="2" t="str">
        <f ca="1">IFERROR(__xludf.DUMMYFUNCTION("GOOGLETRANSLATE(B3613, ""bn"", ""en"")"),"48 people were killed in religious clashes in Bhola district. Police quickly cordoned off the area but could not stop the violence. Many families leave the village for security reasons.")</f>
        <v>48 people were killed in religious clashes in Bhola district. Police quickly cordoned off the area but could not stop the violence. Many families leave the village for security reasons.</v>
      </c>
      <c r="D3613" s="5"/>
      <c r="E3613" s="5"/>
      <c r="F3613" s="5"/>
      <c r="G3613" s="5"/>
      <c r="H3613" s="5"/>
      <c r="I3613" s="5"/>
      <c r="J3613" s="5"/>
      <c r="K3613" s="5"/>
      <c r="L3613" s="5"/>
      <c r="M3613" s="5"/>
      <c r="N3613" s="5"/>
      <c r="O3613" s="5"/>
      <c r="P3613" s="5"/>
      <c r="Q3613" s="5"/>
      <c r="R3613" s="5"/>
      <c r="S3613" s="5"/>
      <c r="T3613" s="5"/>
      <c r="U3613" s="5"/>
      <c r="V3613" s="5"/>
      <c r="W3613" s="5"/>
      <c r="X3613" s="5"/>
      <c r="Y3613" s="5"/>
      <c r="Z3613" s="5"/>
    </row>
    <row r="3614" spans="1:26" ht="15.6" x14ac:dyDescent="0.3">
      <c r="A3614" s="19" t="s">
        <v>5</v>
      </c>
      <c r="B3614" s="26" t="s">
        <v>3601</v>
      </c>
      <c r="C3614" s="2" t="str">
        <f ca="1">IFERROR(__xludf.DUMMYFUNCTION("GOOGLETRANSLATE(B3614, ""bn"", ""en"")"),"From 1815 to 1818, deaths from satire doubled. Rammohan Roy launched an attack on satire which ""evoked such fury that his life was in danger for a while"".")</f>
        <v>From 1815 to 1818, deaths from satire doubled. Rammohan Roy launched an attack on satire which "evoked such fury that his life was in danger for a while".</v>
      </c>
      <c r="D3614" s="5"/>
      <c r="E3614" s="5"/>
      <c r="F3614" s="5"/>
      <c r="G3614" s="5"/>
      <c r="H3614" s="5"/>
      <c r="I3614" s="5"/>
      <c r="J3614" s="5"/>
      <c r="K3614" s="5"/>
      <c r="L3614" s="5"/>
      <c r="M3614" s="5"/>
      <c r="N3614" s="5"/>
      <c r="O3614" s="5"/>
      <c r="P3614" s="5"/>
      <c r="Q3614" s="5"/>
      <c r="R3614" s="5"/>
      <c r="S3614" s="5"/>
      <c r="T3614" s="5"/>
      <c r="U3614" s="5"/>
      <c r="V3614" s="5"/>
      <c r="W3614" s="5"/>
      <c r="X3614" s="5"/>
      <c r="Y3614" s="5"/>
      <c r="Z3614" s="5"/>
    </row>
    <row r="3615" spans="1:26" ht="15.6" x14ac:dyDescent="0.3">
      <c r="A3615" s="18" t="s">
        <v>8</v>
      </c>
      <c r="B3615" s="24" t="s">
        <v>3602</v>
      </c>
      <c r="C3615" s="2" t="str">
        <f ca="1">IFERROR(__xludf.DUMMYFUNCTION("GOOGLETRANSLATE(B3615, ""bn"", ""en"")"),"In Raipara area of ​​Khulna, they entered the Durga temple by breaking the wooden door, vandalized all the idols and wrote obscene messages.")</f>
        <v>In Raipara area of ​​Khulna, they entered the Durga temple by breaking the wooden door, vandalized all the idols and wrote obscene messages.</v>
      </c>
      <c r="D3615" s="5"/>
      <c r="E3615" s="5"/>
      <c r="F3615" s="5"/>
      <c r="G3615" s="5"/>
      <c r="H3615" s="5"/>
      <c r="I3615" s="5"/>
      <c r="J3615" s="5"/>
      <c r="K3615" s="5"/>
      <c r="L3615" s="5"/>
      <c r="M3615" s="5"/>
      <c r="N3615" s="5"/>
      <c r="O3615" s="5"/>
      <c r="P3615" s="5"/>
      <c r="Q3615" s="5"/>
      <c r="R3615" s="5"/>
      <c r="S3615" s="5"/>
      <c r="T3615" s="5"/>
      <c r="U3615" s="5"/>
      <c r="V3615" s="5"/>
      <c r="W3615" s="5"/>
      <c r="X3615" s="5"/>
      <c r="Y3615" s="5"/>
      <c r="Z3615" s="5"/>
    </row>
    <row r="3616" spans="1:26" ht="15.6" x14ac:dyDescent="0.3">
      <c r="A3616" s="18" t="s">
        <v>8</v>
      </c>
      <c r="B3616" s="25" t="s">
        <v>3603</v>
      </c>
      <c r="C3616" s="2" t="str">
        <f ca="1">IFERROR(__xludf.DUMMYFUNCTION("GOOGLETRANSLATE(B3616, ""bn"", ""en"")"),"The minority Muslim community in Bangladesh also faces religious violence and torture, destruction of mosques and destruction of Muslim settlements; If this situation continues, difficult times will come.")</f>
        <v>The minority Muslim community in Bangladesh also faces religious violence and torture, destruction of mosques and destruction of Muslim settlements; If this situation continues, difficult times will come.</v>
      </c>
      <c r="D3616" s="6"/>
      <c r="E3616" s="2"/>
      <c r="F3616" s="2"/>
      <c r="G3616" s="2"/>
      <c r="H3616" s="3"/>
      <c r="I3616" s="3"/>
      <c r="J3616" s="3"/>
      <c r="K3616" s="3"/>
      <c r="L3616" s="3"/>
      <c r="M3616" s="3"/>
      <c r="N3616" s="3"/>
      <c r="O3616" s="3"/>
      <c r="P3616" s="3"/>
      <c r="Q3616" s="3"/>
      <c r="R3616" s="3"/>
      <c r="S3616" s="3"/>
      <c r="T3616" s="3"/>
      <c r="U3616" s="3"/>
      <c r="V3616" s="3"/>
      <c r="W3616" s="3"/>
      <c r="X3616" s="3"/>
      <c r="Y3616" s="3"/>
      <c r="Z3616" s="3"/>
    </row>
    <row r="3617" spans="1:26" ht="15.6" x14ac:dyDescent="0.3">
      <c r="A3617" s="18" t="s">
        <v>3</v>
      </c>
      <c r="B3617" s="25" t="s">
        <v>3604</v>
      </c>
      <c r="C3617" s="2" t="str">
        <f ca="1">IFERROR(__xludf.DUMMYFUNCTION("GOOGLETRANSLATE(B3617, ""bn"", ""en"")"),"I run in search of laughter on a road where religion and values ​​are neglected.")</f>
        <v>I run in search of laughter on a road where religion and values ​​are neglected.</v>
      </c>
      <c r="D3617" s="2"/>
      <c r="E3617" s="2"/>
      <c r="F3617" s="2"/>
      <c r="G3617" s="2"/>
      <c r="H3617" s="3"/>
      <c r="I3617" s="3"/>
      <c r="J3617" s="3"/>
      <c r="K3617" s="3"/>
      <c r="L3617" s="3"/>
      <c r="M3617" s="3"/>
      <c r="N3617" s="3"/>
      <c r="O3617" s="3"/>
      <c r="P3617" s="3"/>
      <c r="Q3617" s="3"/>
      <c r="R3617" s="3"/>
      <c r="S3617" s="3"/>
      <c r="T3617" s="3"/>
      <c r="U3617" s="3"/>
      <c r="V3617" s="3"/>
      <c r="W3617" s="3"/>
      <c r="X3617" s="3"/>
      <c r="Y3617" s="3"/>
      <c r="Z3617" s="3"/>
    </row>
    <row r="3618" spans="1:26" ht="15.6" x14ac:dyDescent="0.3">
      <c r="A3618" s="18" t="s">
        <v>23</v>
      </c>
      <c r="B3618" s="25" t="s">
        <v>3605</v>
      </c>
      <c r="C3618" s="2" t="str">
        <f ca="1">IFERROR(__xludf.DUMMYFUNCTION("GOOGLETRANSLATE(B3618, ""bn"", ""en"")"),"Legal action should be taken against the incident that happened after the rumor of blasphemy.")</f>
        <v>Legal action should be taken against the incident that happened after the rumor of blasphemy.</v>
      </c>
      <c r="D3618" s="2"/>
      <c r="E3618" s="2"/>
      <c r="F3618" s="2"/>
      <c r="G3618" s="2"/>
      <c r="H3618" s="3"/>
      <c r="I3618" s="3"/>
      <c r="J3618" s="3"/>
      <c r="K3618" s="3"/>
      <c r="L3618" s="3"/>
      <c r="M3618" s="3"/>
      <c r="N3618" s="3"/>
      <c r="O3618" s="3"/>
      <c r="P3618" s="3"/>
      <c r="Q3618" s="3"/>
      <c r="R3618" s="3"/>
      <c r="S3618" s="3"/>
      <c r="T3618" s="3"/>
      <c r="U3618" s="3"/>
      <c r="V3618" s="3"/>
      <c r="W3618" s="3"/>
      <c r="X3618" s="3"/>
      <c r="Y3618" s="3"/>
      <c r="Z3618" s="3"/>
    </row>
    <row r="3619" spans="1:26" ht="15.6" x14ac:dyDescent="0.3">
      <c r="A3619" s="18" t="s">
        <v>3</v>
      </c>
      <c r="B3619" s="25" t="s">
        <v>3606</v>
      </c>
      <c r="C3619" s="2" t="str">
        <f ca="1">IFERROR(__xludf.DUMMYFUNCTION("GOOGLETRANSLATE(B3619, ""bn"", ""en"")"),"Hinduism is a tradition of philosophy. Each community has a different philosophy. The Vaishnava sect is the exact opposite of the Shakta sect. Again, not everyone is in favor of the Vedas.")</f>
        <v>Hinduism is a tradition of philosophy. Each community has a different philosophy. The Vaishnava sect is the exact opposite of the Shakta sect. Again, not everyone is in favor of the Vedas.</v>
      </c>
      <c r="D3619" s="5"/>
      <c r="E3619" s="5"/>
      <c r="F3619" s="5"/>
      <c r="G3619" s="5"/>
      <c r="H3619" s="5"/>
      <c r="I3619" s="5"/>
      <c r="J3619" s="5"/>
      <c r="K3619" s="5"/>
      <c r="L3619" s="5"/>
      <c r="M3619" s="5"/>
      <c r="N3619" s="5"/>
      <c r="O3619" s="5"/>
      <c r="P3619" s="5"/>
      <c r="Q3619" s="5"/>
      <c r="R3619" s="5"/>
      <c r="S3619" s="5"/>
      <c r="T3619" s="5"/>
      <c r="U3619" s="5"/>
      <c r="V3619" s="5"/>
      <c r="W3619" s="5"/>
      <c r="X3619" s="5"/>
      <c r="Y3619" s="5"/>
      <c r="Z3619" s="5"/>
    </row>
    <row r="3620" spans="1:26" ht="15.6" x14ac:dyDescent="0.3">
      <c r="A3620" s="18" t="s">
        <v>8</v>
      </c>
      <c r="B3620" s="25" t="s">
        <v>3607</v>
      </c>
      <c r="C3620" s="2" t="str">
        <f ca="1">IFERROR(__xludf.DUMMYFUNCTION("GOOGLETRANSLATE(B3620, ""bn"", ""en"")"),"According to Oikya Parishad, 2,000 incidents of attacks, vandalism and looting on the lives, properties and places of worship of the minority community.")</f>
        <v>According to Oikya Parishad, 2,000 incidents of attacks, vandalism and looting on the lives, properties and places of worship of the minority community.</v>
      </c>
      <c r="D3620" s="6"/>
      <c r="E3620" s="6"/>
      <c r="F3620" s="6"/>
      <c r="G3620" s="2"/>
      <c r="H3620" s="3"/>
      <c r="I3620" s="3"/>
      <c r="J3620" s="3"/>
      <c r="K3620" s="3"/>
      <c r="L3620" s="3"/>
      <c r="M3620" s="3"/>
      <c r="N3620" s="3"/>
      <c r="O3620" s="3"/>
      <c r="P3620" s="3"/>
      <c r="Q3620" s="3"/>
      <c r="R3620" s="3"/>
      <c r="S3620" s="3"/>
      <c r="T3620" s="3"/>
      <c r="U3620" s="3"/>
      <c r="V3620" s="3"/>
      <c r="W3620" s="3"/>
      <c r="X3620" s="3"/>
      <c r="Y3620" s="3"/>
      <c r="Z3620" s="3"/>
    </row>
    <row r="3621" spans="1:26" ht="15.6" x14ac:dyDescent="0.3">
      <c r="A3621" s="19" t="s">
        <v>23</v>
      </c>
      <c r="B3621" s="26" t="s">
        <v>3608</v>
      </c>
      <c r="C3621" s="2" t="str">
        <f ca="1">IFERROR(__xludf.DUMMYFUNCTION("GOOGLETRANSLATE(B3621, ""bn"", ""en"")"),"Still some narrow minded people with extreme sectarian attitude sneer at Muslims as 'Nedes'. As they used to sneer at Buddhists as 'Nedes'. They have maintained that tradition among Muslims. Because those Buddhists converted to Islam.")</f>
        <v>Still some narrow minded people with extreme sectarian attitude sneer at Muslims as 'Nedes'. As they used to sneer at Buddhists as 'Nedes'. They have maintained that tradition among Muslims. Because those Buddhists converted to Islam.</v>
      </c>
      <c r="D3621" s="7"/>
      <c r="E3621" s="7"/>
      <c r="F3621" s="7"/>
      <c r="G3621" s="5"/>
      <c r="H3621" s="5"/>
      <c r="I3621" s="5"/>
      <c r="J3621" s="5"/>
      <c r="K3621" s="5"/>
      <c r="L3621" s="5"/>
      <c r="M3621" s="5"/>
      <c r="N3621" s="5"/>
      <c r="O3621" s="5"/>
      <c r="P3621" s="5"/>
      <c r="Q3621" s="5"/>
      <c r="R3621" s="5"/>
      <c r="S3621" s="5"/>
      <c r="T3621" s="5"/>
      <c r="U3621" s="5"/>
      <c r="V3621" s="5"/>
      <c r="W3621" s="5"/>
      <c r="X3621" s="5"/>
      <c r="Y3621" s="5"/>
      <c r="Z3621" s="5"/>
    </row>
    <row r="3622" spans="1:26" ht="15.6" x14ac:dyDescent="0.3">
      <c r="A3622" s="18" t="s">
        <v>3</v>
      </c>
      <c r="B3622" s="24" t="s">
        <v>3609</v>
      </c>
      <c r="C3622" s="2" t="str">
        <f ca="1">IFERROR(__xludf.DUMMYFUNCTION("GOOGLETRANSLATE(B3622, ""bn"", ""en"")"),"Religious discipline brings justice and order in our family and social life.")</f>
        <v>Religious discipline brings justice and order in our family and social life.</v>
      </c>
      <c r="D3622" s="5"/>
      <c r="E3622" s="5"/>
      <c r="F3622" s="5"/>
      <c r="G3622" s="5"/>
      <c r="H3622" s="5"/>
      <c r="I3622" s="5"/>
      <c r="J3622" s="5"/>
      <c r="K3622" s="5"/>
      <c r="L3622" s="5"/>
      <c r="M3622" s="5"/>
      <c r="N3622" s="5"/>
      <c r="O3622" s="5"/>
      <c r="P3622" s="5"/>
      <c r="Q3622" s="5"/>
      <c r="R3622" s="5"/>
      <c r="S3622" s="5"/>
      <c r="T3622" s="5"/>
      <c r="U3622" s="5"/>
      <c r="V3622" s="5"/>
      <c r="W3622" s="5"/>
      <c r="X3622" s="5"/>
      <c r="Y3622" s="5"/>
      <c r="Z3622" s="5"/>
    </row>
    <row r="3623" spans="1:26" ht="15.6" x14ac:dyDescent="0.3">
      <c r="A3623" s="18" t="s">
        <v>5</v>
      </c>
      <c r="B3623" s="24" t="s">
        <v>3610</v>
      </c>
      <c r="C3623" s="2" t="str">
        <f ca="1">IFERROR(__xludf.DUMMYFUNCTION("GOOGLETRANSLATE(B3623, ""bn"", ""en"")"),"A gay youth was publicly hanged according to religious orders; Another 22 people were killed in the protest.")</f>
        <v>A gay youth was publicly hanged according to religious orders; Another 22 people were killed in the protest.</v>
      </c>
      <c r="D3623" s="5"/>
      <c r="E3623" s="5"/>
      <c r="F3623" s="5"/>
      <c r="G3623" s="5"/>
      <c r="H3623" s="5"/>
      <c r="I3623" s="5"/>
      <c r="J3623" s="5"/>
      <c r="K3623" s="5"/>
      <c r="L3623" s="5"/>
      <c r="M3623" s="5"/>
      <c r="N3623" s="5"/>
      <c r="O3623" s="5"/>
      <c r="P3623" s="5"/>
      <c r="Q3623" s="5"/>
      <c r="R3623" s="5"/>
      <c r="S3623" s="5"/>
      <c r="T3623" s="5"/>
      <c r="U3623" s="5"/>
      <c r="V3623" s="5"/>
      <c r="W3623" s="5"/>
      <c r="X3623" s="5"/>
      <c r="Y3623" s="5"/>
      <c r="Z3623" s="5"/>
    </row>
    <row r="3624" spans="1:26" ht="15.6" x14ac:dyDescent="0.3">
      <c r="A3624" s="19" t="s">
        <v>3</v>
      </c>
      <c r="B3624" s="26" t="s">
        <v>3611</v>
      </c>
      <c r="C3624" s="2" t="str">
        <f ca="1">IFERROR(__xludf.DUMMYFUNCTION("GOOGLETRANSLATE(B3624, ""bn"", ""en"")"),"The long 40-day siege of Taif, set by Hunain as an adventurer, was the crowning achievement of his heroic conquest of Makkah. A great victory without bloodshed. Which has not been observed anywhere else in the history of the world, nor is it likely to hap"&amp;"pen. Humans have never observed such wonders before.")</f>
        <v>The long 40-day siege of Taif, set by Hunain as an adventurer, was the crowning achievement of his heroic conquest of Makkah. A great victory without bloodshed. Which has not been observed anywhere else in the history of the world, nor is it likely to happen. Humans have never observed such wonders before.</v>
      </c>
      <c r="D3624" s="7"/>
      <c r="E3624" s="7"/>
      <c r="F3624" s="7"/>
      <c r="G3624" s="7"/>
      <c r="H3624" s="5"/>
      <c r="I3624" s="5"/>
      <c r="J3624" s="5"/>
      <c r="K3624" s="5"/>
      <c r="L3624" s="5"/>
      <c r="M3624" s="5"/>
      <c r="N3624" s="5"/>
      <c r="O3624" s="5"/>
      <c r="P3624" s="5"/>
      <c r="Q3624" s="5"/>
      <c r="R3624" s="5"/>
      <c r="S3624" s="5"/>
      <c r="T3624" s="5"/>
      <c r="U3624" s="5"/>
      <c r="V3624" s="5"/>
      <c r="W3624" s="5"/>
      <c r="X3624" s="5"/>
      <c r="Y3624" s="5"/>
      <c r="Z3624" s="5"/>
    </row>
    <row r="3625" spans="1:26" ht="15.6" x14ac:dyDescent="0.3">
      <c r="A3625" s="19" t="s">
        <v>3</v>
      </c>
      <c r="B3625" s="26" t="s">
        <v>3612</v>
      </c>
      <c r="C3625" s="2" t="str">
        <f ca="1">IFERROR(__xludf.DUMMYFUNCTION("GOOGLETRANSLATE(B3625, ""bn"", ""en"")"),"Everywhere in Bangladesh temples, churches, pagodas will be safe,,, no one who believes in any Muslim religion can hurt other religions.")</f>
        <v>Everywhere in Bangladesh temples, churches, pagodas will be safe,,, no one who believes in any Muslim religion can hurt other religions.</v>
      </c>
      <c r="D3625" s="5"/>
      <c r="E3625" s="5"/>
      <c r="F3625" s="5"/>
      <c r="G3625" s="5"/>
      <c r="H3625" s="5"/>
      <c r="I3625" s="5"/>
      <c r="J3625" s="5"/>
      <c r="K3625" s="5"/>
      <c r="L3625" s="5"/>
      <c r="M3625" s="5"/>
      <c r="N3625" s="5"/>
      <c r="O3625" s="5"/>
      <c r="P3625" s="5"/>
      <c r="Q3625" s="5"/>
      <c r="R3625" s="5"/>
      <c r="S3625" s="5"/>
      <c r="T3625" s="5"/>
      <c r="U3625" s="5"/>
      <c r="V3625" s="5"/>
      <c r="W3625" s="5"/>
      <c r="X3625" s="5"/>
      <c r="Y3625" s="5"/>
      <c r="Z3625" s="5"/>
    </row>
    <row r="3626" spans="1:26" ht="15.6" x14ac:dyDescent="0.3">
      <c r="A3626" s="18" t="s">
        <v>8</v>
      </c>
      <c r="B3626" s="25" t="s">
        <v>3613</v>
      </c>
      <c r="C3626" s="2" t="str">
        <f ca="1">IFERROR(__xludf.DUMMYFUNCTION("GOOGLETRANSLATE(B3626, ""bn"", ""en"")"),"Chhatipara Chandramani Raksha Kali Temple was also attacked and idols were vandalized and set on fire. Outside, 15 more temples and mandapam gates were set on fire and vandalized.")</f>
        <v>Chhatipara Chandramani Raksha Kali Temple was also attacked and idols were vandalized and set on fire. Outside, 15 more temples and mandapam gates were set on fire and vandalized.</v>
      </c>
      <c r="D3626" s="5"/>
      <c r="E3626" s="5"/>
      <c r="F3626" s="5"/>
      <c r="G3626" s="5"/>
      <c r="H3626" s="5"/>
      <c r="I3626" s="5"/>
      <c r="J3626" s="5"/>
      <c r="K3626" s="5"/>
      <c r="L3626" s="5"/>
      <c r="M3626" s="5"/>
      <c r="N3626" s="5"/>
      <c r="O3626" s="5"/>
      <c r="P3626" s="5"/>
      <c r="Q3626" s="5"/>
      <c r="R3626" s="5"/>
      <c r="S3626" s="5"/>
      <c r="T3626" s="5"/>
      <c r="U3626" s="5"/>
      <c r="V3626" s="5"/>
      <c r="W3626" s="5"/>
      <c r="X3626" s="5"/>
      <c r="Y3626" s="5"/>
      <c r="Z3626" s="5"/>
    </row>
    <row r="3627" spans="1:26" ht="15.6" x14ac:dyDescent="0.3">
      <c r="A3627" s="18" t="s">
        <v>23</v>
      </c>
      <c r="B3627" s="25" t="s">
        <v>3614</v>
      </c>
      <c r="C3627" s="2" t="str">
        <f ca="1">IFERROR(__xludf.DUMMYFUNCTION("GOOGLETRANSLATE(B3627, ""bn"", ""en"")"),"Only one religion has fundamentalism. You are insulting all other religions. The whole world has this one terrorist religion")</f>
        <v>Only one religion has fundamentalism. You are insulting all other religions. The whole world has this one terrorist religion</v>
      </c>
      <c r="D3627" s="2"/>
      <c r="E3627" s="2"/>
      <c r="F3627" s="2"/>
      <c r="G3627" s="2"/>
      <c r="H3627" s="5"/>
      <c r="I3627" s="5"/>
      <c r="J3627" s="5"/>
      <c r="K3627" s="5"/>
      <c r="L3627" s="5"/>
      <c r="M3627" s="5"/>
      <c r="N3627" s="5"/>
      <c r="O3627" s="5"/>
      <c r="P3627" s="5"/>
      <c r="Q3627" s="5"/>
      <c r="R3627" s="5"/>
      <c r="S3627" s="5"/>
      <c r="T3627" s="5"/>
      <c r="U3627" s="5"/>
      <c r="V3627" s="5"/>
      <c r="W3627" s="5"/>
      <c r="X3627" s="5"/>
      <c r="Y3627" s="5"/>
      <c r="Z3627" s="5"/>
    </row>
    <row r="3628" spans="1:26" ht="15.6" x14ac:dyDescent="0.3">
      <c r="A3628" s="18" t="s">
        <v>5</v>
      </c>
      <c r="B3628" s="25" t="s">
        <v>3615</v>
      </c>
      <c r="C3628" s="2" t="str">
        <f ca="1">IFERROR(__xludf.DUMMYFUNCTION("GOOGLETRANSLATE(B3628, ""bn"", ""en"")"),"According to the report, the statistics show that Hindu oppression is constantly increasing in the country. In 2020 alone, 149 Hindus have been killed, the Jatiya Hindu Mahazat has reported, along with a significant increase in looting, vandalism and land"&amp;" grabbing.")</f>
        <v>According to the report, the statistics show that Hindu oppression is constantly increasing in the country. In 2020 alone, 149 Hindus have been killed, the Jatiya Hindu Mahazat has reported, along with a significant increase in looting, vandalism and land grabbing.</v>
      </c>
      <c r="D3628" s="6"/>
      <c r="E3628" s="6"/>
      <c r="F3628" s="6"/>
      <c r="G3628" s="6"/>
      <c r="H3628" s="3"/>
      <c r="I3628" s="3"/>
      <c r="J3628" s="3"/>
      <c r="K3628" s="3"/>
      <c r="L3628" s="3"/>
      <c r="M3628" s="3"/>
      <c r="N3628" s="3"/>
      <c r="O3628" s="3"/>
      <c r="P3628" s="3"/>
      <c r="Q3628" s="3"/>
      <c r="R3628" s="3"/>
      <c r="S3628" s="3"/>
      <c r="T3628" s="3"/>
      <c r="U3628" s="3"/>
      <c r="V3628" s="3"/>
      <c r="W3628" s="3"/>
      <c r="X3628" s="3"/>
      <c r="Y3628" s="3"/>
      <c r="Z3628" s="3"/>
    </row>
    <row r="3629" spans="1:26" ht="15.6" x14ac:dyDescent="0.3">
      <c r="A3629" s="18" t="s">
        <v>23</v>
      </c>
      <c r="B3629" s="25" t="s">
        <v>3616</v>
      </c>
      <c r="C3629" s="2" t="str">
        <f ca="1">IFERROR(__xludf.DUMMYFUNCTION("GOOGLETRANSLATE(B3629, ""bn"", ""en"")"),"Despite the ubiquitous nature of religious persecution, the traditional human rights community generally chooses to emphasize ""more explicit limitations on human dignity"", such as violations that use racial, ethnic, and linguistic groupings based on rac"&amp;"e, gender, and class. Religious affiliation.")</f>
        <v>Despite the ubiquitous nature of religious persecution, the traditional human rights community generally chooses to emphasize "more explicit limitations on human dignity", such as violations that use racial, ethnic, and linguistic groupings based on race, gender, and class. Religious affiliation.</v>
      </c>
      <c r="D3629" s="5"/>
      <c r="E3629" s="5"/>
      <c r="F3629" s="5"/>
      <c r="G3629" s="5"/>
      <c r="H3629" s="5"/>
      <c r="I3629" s="5"/>
      <c r="J3629" s="5"/>
      <c r="K3629" s="5"/>
      <c r="L3629" s="5"/>
      <c r="M3629" s="5"/>
      <c r="N3629" s="5"/>
      <c r="O3629" s="5"/>
      <c r="P3629" s="5"/>
      <c r="Q3629" s="5"/>
      <c r="R3629" s="5"/>
      <c r="S3629" s="5"/>
      <c r="T3629" s="5"/>
      <c r="U3629" s="5"/>
      <c r="V3629" s="5"/>
      <c r="W3629" s="5"/>
      <c r="X3629" s="5"/>
      <c r="Y3629" s="5"/>
      <c r="Z3629" s="5"/>
    </row>
    <row r="3630" spans="1:26" ht="15.6" x14ac:dyDescent="0.3">
      <c r="A3630" s="18" t="s">
        <v>8</v>
      </c>
      <c r="B3630" s="24" t="s">
        <v>3617</v>
      </c>
      <c r="C3630" s="2" t="str">
        <f ca="1">IFERROR(__xludf.DUMMYFUNCTION("GOOGLETRANSLATE(B3630, ""bn"", ""en"")"),"Unidentified miscreants entered the Rajbari in the early hours of the night and broke the idols under construction in the pujamandap and scattered them.")</f>
        <v>Unidentified miscreants entered the Rajbari in the early hours of the night and broke the idols under construction in the pujamandap and scattered them.</v>
      </c>
      <c r="D3630" s="5"/>
      <c r="E3630" s="5"/>
      <c r="F3630" s="5"/>
      <c r="G3630" s="5"/>
      <c r="H3630" s="5"/>
      <c r="I3630" s="5"/>
      <c r="J3630" s="5"/>
      <c r="K3630" s="5"/>
      <c r="L3630" s="5"/>
      <c r="M3630" s="5"/>
      <c r="N3630" s="5"/>
      <c r="O3630" s="5"/>
      <c r="P3630" s="5"/>
      <c r="Q3630" s="5"/>
      <c r="R3630" s="5"/>
      <c r="S3630" s="5"/>
      <c r="T3630" s="5"/>
      <c r="U3630" s="5"/>
      <c r="V3630" s="5"/>
      <c r="W3630" s="5"/>
      <c r="X3630" s="5"/>
      <c r="Y3630" s="5"/>
      <c r="Z3630" s="5"/>
    </row>
    <row r="3631" spans="1:26" ht="15.6" x14ac:dyDescent="0.3">
      <c r="A3631" s="18" t="s">
        <v>3</v>
      </c>
      <c r="B3631" s="25" t="s">
        <v>3618</v>
      </c>
      <c r="C3631" s="2" t="str">
        <f ca="1">IFERROR(__xludf.DUMMYFUNCTION("GOOGLETRANSLATE(B3631, ""bn"", ""en"")"),"The Hajj is an annual Islamic pilgrimage to Mecca, the holiest city for Muslims in Saudi Arabia. [1] The Hajj is an obligatory religious pilgrimage for Muslims.")</f>
        <v>The Hajj is an annual Islamic pilgrimage to Mecca, the holiest city for Muslims in Saudi Arabia. [1] The Hajj is an obligatory religious pilgrimage for Muslims.</v>
      </c>
      <c r="D3631" s="5"/>
      <c r="E3631" s="5"/>
      <c r="F3631" s="5"/>
      <c r="G3631" s="5"/>
      <c r="H3631" s="5"/>
      <c r="I3631" s="5"/>
      <c r="J3631" s="5"/>
      <c r="K3631" s="5"/>
      <c r="L3631" s="5"/>
      <c r="M3631" s="5"/>
      <c r="N3631" s="5"/>
      <c r="O3631" s="5"/>
      <c r="P3631" s="5"/>
      <c r="Q3631" s="5"/>
      <c r="R3631" s="5"/>
      <c r="S3631" s="5"/>
      <c r="T3631" s="5"/>
      <c r="U3631" s="5"/>
      <c r="V3631" s="5"/>
      <c r="W3631" s="5"/>
      <c r="X3631" s="5"/>
      <c r="Y3631" s="5"/>
      <c r="Z3631" s="5"/>
    </row>
    <row r="3632" spans="1:26" ht="15.6" x14ac:dyDescent="0.3">
      <c r="A3632" s="18" t="s">
        <v>8</v>
      </c>
      <c r="B3632" s="25" t="s">
        <v>3619</v>
      </c>
      <c r="C3632" s="2" t="str">
        <f ca="1">IFERROR(__xludf.DUMMYFUNCTION("GOOGLETRANSLATE(B3632, ""bn"", ""en"")"),"Communal tension in Hajiganj was fueled by rumors of the rape of female members of a Hindu family fueled by religious hatred, which local organizations dismissed as rumours.")</f>
        <v>Communal tension in Hajiganj was fueled by rumors of the rape of female members of a Hindu family fueled by religious hatred, which local organizations dismissed as rumours.</v>
      </c>
      <c r="D3632" s="5"/>
      <c r="E3632" s="5"/>
      <c r="F3632" s="5"/>
      <c r="G3632" s="5"/>
      <c r="H3632" s="5"/>
      <c r="I3632" s="5"/>
      <c r="J3632" s="5"/>
      <c r="K3632" s="5"/>
      <c r="L3632" s="5"/>
      <c r="M3632" s="5"/>
      <c r="N3632" s="5"/>
      <c r="O3632" s="5"/>
      <c r="P3632" s="5"/>
      <c r="Q3632" s="5"/>
      <c r="R3632" s="5"/>
      <c r="S3632" s="5"/>
      <c r="T3632" s="5"/>
      <c r="U3632" s="5"/>
      <c r="V3632" s="5"/>
      <c r="W3632" s="5"/>
      <c r="X3632" s="5"/>
      <c r="Y3632" s="5"/>
      <c r="Z3632" s="5"/>
    </row>
    <row r="3633" spans="1:26" ht="15.6" x14ac:dyDescent="0.3">
      <c r="A3633" s="18" t="s">
        <v>5</v>
      </c>
      <c r="B3633" s="24" t="s">
        <v>3620</v>
      </c>
      <c r="C3633" s="2" t="str">
        <f ca="1">IFERROR(__xludf.DUMMYFUNCTION("GOOGLETRANSLATE(B3633, ""bn"", ""en"")"),"In January 2018, a group attacked the artist's exhibition and seriously injured him, allegedly for hurting religious sentiments; 15 people were killed in the incident.")</f>
        <v>In January 2018, a group attacked the artist's exhibition and seriously injured him, allegedly for hurting religious sentiments; 15 people were killed in the incident.</v>
      </c>
      <c r="D3633" s="5"/>
      <c r="E3633" s="5"/>
      <c r="F3633" s="5"/>
      <c r="G3633" s="5"/>
      <c r="H3633" s="5"/>
      <c r="I3633" s="5"/>
      <c r="J3633" s="5"/>
      <c r="K3633" s="5"/>
      <c r="L3633" s="5"/>
      <c r="M3633" s="5"/>
      <c r="N3633" s="5"/>
      <c r="O3633" s="5"/>
      <c r="P3633" s="5"/>
      <c r="Q3633" s="5"/>
      <c r="R3633" s="5"/>
      <c r="S3633" s="5"/>
      <c r="T3633" s="5"/>
      <c r="U3633" s="5"/>
      <c r="V3633" s="5"/>
      <c r="W3633" s="5"/>
      <c r="X3633" s="5"/>
      <c r="Y3633" s="5"/>
      <c r="Z3633" s="5"/>
    </row>
    <row r="3634" spans="1:26" ht="15.6" x14ac:dyDescent="0.3">
      <c r="A3634" s="18" t="s">
        <v>5</v>
      </c>
      <c r="B3634" s="25" t="s">
        <v>3621</v>
      </c>
      <c r="C3634" s="2" t="str">
        <f ca="1">IFERROR(__xludf.DUMMYFUNCTION("GOOGLETRANSLATE(B3634, ""bn"", ""en"")"),"In Lalchandpur area, 40 Hindus were besieged in the house of Madhu Namashudra. After looting everything, they were lined up and killed by burst fire. Hindus were killed in the same manner in Gokulnagar.")</f>
        <v>In Lalchandpur area, 40 Hindus were besieged in the house of Madhu Namashudra. After looting everything, they were lined up and killed by burst fire. Hindus were killed in the same manner in Gokulnagar.</v>
      </c>
      <c r="D3634" s="2"/>
      <c r="E3634" s="2"/>
      <c r="F3634" s="2"/>
      <c r="G3634" s="2"/>
      <c r="H3634" s="3"/>
      <c r="I3634" s="3"/>
      <c r="J3634" s="3"/>
      <c r="K3634" s="3"/>
      <c r="L3634" s="3"/>
      <c r="M3634" s="3"/>
      <c r="N3634" s="3"/>
      <c r="O3634" s="3"/>
      <c r="P3634" s="3"/>
      <c r="Q3634" s="3"/>
      <c r="R3634" s="3"/>
      <c r="S3634" s="3"/>
      <c r="T3634" s="3"/>
      <c r="U3634" s="3"/>
      <c r="V3634" s="3"/>
      <c r="W3634" s="3"/>
      <c r="X3634" s="3"/>
      <c r="Y3634" s="3"/>
      <c r="Z3634" s="3"/>
    </row>
    <row r="3635" spans="1:26" ht="15.6" x14ac:dyDescent="0.3">
      <c r="A3635" s="19" t="s">
        <v>5</v>
      </c>
      <c r="B3635" s="26" t="s">
        <v>3622</v>
      </c>
      <c r="C3635" s="2" t="str">
        <f ca="1">IFERROR(__xludf.DUMMYFUNCTION("GOOGLETRANSLATE(B3635, ""bn"", ""en"")"),"Gauri Lankesh was an outspoken critic of the Hindu Right through her writings. Bangalore Police Commissioner Sunil Kumar told the BBC, ""When he was returning home on Tuesday night, shots were fired right in front of the house.")</f>
        <v>Gauri Lankesh was an outspoken critic of the Hindu Right through her writings. Bangalore Police Commissioner Sunil Kumar told the BBC, "When he was returning home on Tuesday night, shots were fired right in front of the house.</v>
      </c>
      <c r="D3635" s="5"/>
      <c r="E3635" s="5"/>
      <c r="F3635" s="5"/>
      <c r="G3635" s="5"/>
      <c r="H3635" s="5"/>
      <c r="I3635" s="5"/>
      <c r="J3635" s="5"/>
      <c r="K3635" s="5"/>
      <c r="L3635" s="5"/>
      <c r="M3635" s="5"/>
      <c r="N3635" s="5"/>
      <c r="O3635" s="5"/>
      <c r="P3635" s="5"/>
      <c r="Q3635" s="5"/>
      <c r="R3635" s="5"/>
      <c r="S3635" s="5"/>
      <c r="T3635" s="5"/>
      <c r="U3635" s="5"/>
      <c r="V3635" s="5"/>
      <c r="W3635" s="5"/>
      <c r="X3635" s="5"/>
      <c r="Y3635" s="5"/>
      <c r="Z3635" s="5"/>
    </row>
    <row r="3636" spans="1:26" ht="15.6" x14ac:dyDescent="0.3">
      <c r="A3636" s="19" t="s">
        <v>3</v>
      </c>
      <c r="B3636" s="26" t="s">
        <v>3623</v>
      </c>
      <c r="C3636" s="2" t="str">
        <f ca="1">IFERROR(__xludf.DUMMYFUNCTION("GOOGLETRANSLATE(B3636, ""bn"", ""en"")"),"All the wars and campaigns conducted by the Muslim community during the lifetime of the Prophet of Islam Muhammad (PBUH) are listed.")</f>
        <v>All the wars and campaigns conducted by the Muslim community during the lifetime of the Prophet of Islam Muhammad (PBUH) are listed.</v>
      </c>
      <c r="D3636" s="7"/>
      <c r="E3636" s="7"/>
      <c r="F3636" s="7"/>
      <c r="G3636" s="7"/>
      <c r="H3636" s="5"/>
      <c r="I3636" s="5"/>
      <c r="J3636" s="5"/>
      <c r="K3636" s="5"/>
      <c r="L3636" s="5"/>
      <c r="M3636" s="5"/>
      <c r="N3636" s="5"/>
      <c r="O3636" s="5"/>
      <c r="P3636" s="5"/>
      <c r="Q3636" s="5"/>
      <c r="R3636" s="5"/>
      <c r="S3636" s="5"/>
      <c r="T3636" s="5"/>
      <c r="U3636" s="5"/>
      <c r="V3636" s="5"/>
      <c r="W3636" s="5"/>
      <c r="X3636" s="5"/>
      <c r="Y3636" s="5"/>
      <c r="Z3636" s="5"/>
    </row>
    <row r="3637" spans="1:26" ht="15.6" x14ac:dyDescent="0.3">
      <c r="A3637" s="19" t="s">
        <v>5</v>
      </c>
      <c r="B3637" s="26" t="s">
        <v>3624</v>
      </c>
      <c r="C3637" s="2" t="str">
        <f ca="1">IFERROR(__xludf.DUMMYFUNCTION("GOOGLETRANSLATE(B3637, ""bn"", ""en"")"),"On December 20, 1949, policemen raided the house of religious minority Jaydev Varma at Mollahat in Bagerhat, Khulna on suspicion of being a communist, and attempted to sexually assault his wife without finding anyone, an example of religious persecution.")</f>
        <v>On December 20, 1949, policemen raided the house of religious minority Jaydev Varma at Mollahat in Bagerhat, Khulna on suspicion of being a communist, and attempted to sexually assault his wife without finding anyone, an example of religious persecution.</v>
      </c>
      <c r="D3637" s="7"/>
      <c r="E3637" s="7"/>
      <c r="F3637" s="7"/>
      <c r="G3637" s="7"/>
      <c r="H3637" s="7"/>
      <c r="I3637" s="7"/>
      <c r="J3637" s="7"/>
      <c r="K3637" s="7"/>
      <c r="L3637" s="7"/>
      <c r="M3637" s="7"/>
      <c r="N3637" s="7"/>
      <c r="O3637" s="7"/>
      <c r="P3637" s="7"/>
      <c r="Q3637" s="7"/>
      <c r="R3637" s="7"/>
      <c r="S3637" s="7"/>
      <c r="T3637" s="5"/>
      <c r="U3637" s="5"/>
      <c r="V3637" s="5"/>
      <c r="W3637" s="5"/>
      <c r="X3637" s="5"/>
      <c r="Y3637" s="5"/>
      <c r="Z3637" s="5"/>
    </row>
    <row r="3638" spans="1:26" ht="15.6" x14ac:dyDescent="0.3">
      <c r="A3638" s="19" t="s">
        <v>5</v>
      </c>
      <c r="B3638" s="26" t="s">
        <v>3625</v>
      </c>
      <c r="C3638" s="2" t="str">
        <f ca="1">IFERROR(__xludf.DUMMYFUNCTION("GOOGLETRANSLATE(B3638, ""bn"", ""en"")"),"Chaitanya, the religious figure of the Hindus, was chanted loudly by many people. The local Muslim Qazi ordered to stop such events due to inconvenience to the people.")</f>
        <v>Chaitanya, the religious figure of the Hindus, was chanted loudly by many people. The local Muslim Qazi ordered to stop such events due to inconvenience to the people.</v>
      </c>
      <c r="D3638" s="7"/>
      <c r="E3638" s="7"/>
      <c r="F3638" s="7"/>
      <c r="G3638" s="7"/>
      <c r="H3638" s="7"/>
      <c r="I3638" s="7"/>
      <c r="J3638" s="7"/>
      <c r="K3638" s="7"/>
      <c r="L3638" s="7"/>
      <c r="M3638" s="7"/>
      <c r="N3638" s="7"/>
      <c r="O3638" s="7"/>
      <c r="P3638" s="5"/>
      <c r="Q3638" s="5"/>
      <c r="R3638" s="5"/>
      <c r="S3638" s="5"/>
      <c r="T3638" s="5"/>
      <c r="U3638" s="5"/>
      <c r="V3638" s="5"/>
      <c r="W3638" s="5"/>
      <c r="X3638" s="5"/>
      <c r="Y3638" s="5"/>
      <c r="Z3638" s="5"/>
    </row>
    <row r="3639" spans="1:26" ht="15.6" x14ac:dyDescent="0.3">
      <c r="A3639" s="18" t="s">
        <v>8</v>
      </c>
      <c r="B3639" s="25" t="s">
        <v>3626</v>
      </c>
      <c r="C3639" s="2" t="str">
        <f ca="1">IFERROR(__xludf.DUMMYFUNCTION("GOOGLETRANSLATE(B3639, ""bn"", ""en"")"),"In this religious frenzy, hundreds of Buddhist monasteries and temples were destroyed, monks and nuns were killed, and sacred Buddhist scriptures were burned.")</f>
        <v>In this religious frenzy, hundreds of Buddhist monasteries and temples were destroyed, monks and nuns were killed, and sacred Buddhist scriptures were burned.</v>
      </c>
      <c r="D3639" s="5"/>
      <c r="E3639" s="5"/>
      <c r="F3639" s="5"/>
      <c r="G3639" s="5"/>
      <c r="H3639" s="5"/>
      <c r="I3639" s="5"/>
      <c r="J3639" s="5"/>
      <c r="K3639" s="5"/>
      <c r="L3639" s="5"/>
      <c r="M3639" s="5"/>
      <c r="N3639" s="5"/>
      <c r="O3639" s="5"/>
      <c r="P3639" s="5"/>
      <c r="Q3639" s="5"/>
      <c r="R3639" s="5"/>
      <c r="S3639" s="5"/>
      <c r="T3639" s="5"/>
      <c r="U3639" s="5"/>
      <c r="V3639" s="5"/>
      <c r="W3639" s="5"/>
      <c r="X3639" s="5"/>
      <c r="Y3639" s="5"/>
      <c r="Z3639" s="5"/>
    </row>
    <row r="3640" spans="1:26" ht="15.6" x14ac:dyDescent="0.3">
      <c r="A3640" s="18" t="s">
        <v>3</v>
      </c>
      <c r="B3640" s="25" t="s">
        <v>3627</v>
      </c>
      <c r="C3640" s="2" t="str">
        <f ca="1">IFERROR(__xludf.DUMMYFUNCTION("GOOGLETRANSLATE(B3640, ""bn"", ""en"")"),"It is He who sent His Messenger with guidance and the true religion, to make it victorious over all other religions. Allah is sufficient as the true founder.")</f>
        <v>It is He who sent His Messenger with guidance and the true religion, to make it victorious over all other religions. Allah is sufficient as the true founder.</v>
      </c>
      <c r="D3640" s="5"/>
      <c r="E3640" s="5"/>
      <c r="F3640" s="5"/>
      <c r="G3640" s="5"/>
      <c r="H3640" s="5"/>
      <c r="I3640" s="5"/>
      <c r="J3640" s="5"/>
      <c r="K3640" s="5"/>
      <c r="L3640" s="5"/>
      <c r="M3640" s="5"/>
      <c r="N3640" s="5"/>
      <c r="O3640" s="5"/>
      <c r="P3640" s="5"/>
      <c r="Q3640" s="5"/>
      <c r="R3640" s="5"/>
      <c r="S3640" s="5"/>
      <c r="T3640" s="5"/>
      <c r="U3640" s="5"/>
      <c r="V3640" s="5"/>
      <c r="W3640" s="5"/>
      <c r="X3640" s="5"/>
      <c r="Y3640" s="5"/>
      <c r="Z3640" s="5"/>
    </row>
    <row r="3641" spans="1:26" ht="15.6" x14ac:dyDescent="0.3">
      <c r="A3641" s="18" t="s">
        <v>5</v>
      </c>
      <c r="B3641" s="25" t="s">
        <v>3628</v>
      </c>
      <c r="C3641" s="2" t="str">
        <f ca="1">IFERROR(__xludf.DUMMYFUNCTION("GOOGLETRANSLATE(B3641, ""bn"", ""en"")"),"Mr. Karim Adamjee, manager of the Adamjee Group, announced a general holiday at the jute mills and systematically spread rumors that his brother had been killed in Netrokona. On the night of 13 January, Muslim workers of the Adamji jute mill attacked the "&amp;"nearby quarters where Hindus lived.")</f>
        <v>Mr. Karim Adamjee, manager of the Adamjee Group, announced a general holiday at the jute mills and systematically spread rumors that his brother had been killed in Netrokona. On the night of 13 January, Muslim workers of the Adamji jute mill attacked the nearby quarters where Hindus lived.</v>
      </c>
      <c r="D3641" s="6"/>
      <c r="E3641" s="6"/>
      <c r="F3641" s="6"/>
      <c r="G3641" s="6"/>
      <c r="H3641" s="3"/>
      <c r="I3641" s="3"/>
      <c r="J3641" s="3"/>
      <c r="K3641" s="3"/>
      <c r="L3641" s="3"/>
      <c r="M3641" s="3"/>
      <c r="N3641" s="3"/>
      <c r="O3641" s="3"/>
      <c r="P3641" s="3"/>
      <c r="Q3641" s="3"/>
      <c r="R3641" s="3"/>
      <c r="S3641" s="3"/>
      <c r="T3641" s="3"/>
      <c r="U3641" s="3"/>
      <c r="V3641" s="3"/>
      <c r="W3641" s="3"/>
      <c r="X3641" s="3"/>
      <c r="Y3641" s="3"/>
      <c r="Z3641" s="3"/>
    </row>
    <row r="3642" spans="1:26" ht="15.6" x14ac:dyDescent="0.3">
      <c r="A3642" s="18" t="s">
        <v>3</v>
      </c>
      <c r="B3642" s="25" t="s">
        <v>3629</v>
      </c>
      <c r="C3642" s="2" t="str">
        <f ca="1">IFERROR(__xludf.DUMMYFUNCTION("GOOGLETRANSLATE(B3642, ""bn"", ""en"")"),"Hinduism believes that God exists within all living beings, and therefore respect should be shown to all.")</f>
        <v>Hinduism believes that God exists within all living beings, and therefore respect should be shown to all.</v>
      </c>
      <c r="D3642" s="5"/>
      <c r="E3642" s="5"/>
      <c r="F3642" s="5"/>
      <c r="G3642" s="5"/>
      <c r="H3642" s="5"/>
      <c r="I3642" s="5"/>
      <c r="J3642" s="5"/>
      <c r="K3642" s="5"/>
      <c r="L3642" s="5"/>
      <c r="M3642" s="5"/>
      <c r="N3642" s="5"/>
      <c r="O3642" s="5"/>
      <c r="P3642" s="5"/>
      <c r="Q3642" s="5"/>
      <c r="R3642" s="5"/>
      <c r="S3642" s="5"/>
      <c r="T3642" s="5"/>
      <c r="U3642" s="5"/>
      <c r="V3642" s="5"/>
      <c r="W3642" s="5"/>
      <c r="X3642" s="5"/>
      <c r="Y3642" s="5"/>
      <c r="Z3642" s="5"/>
    </row>
    <row r="3643" spans="1:26" ht="15.6" x14ac:dyDescent="0.3">
      <c r="A3643" s="18" t="s">
        <v>23</v>
      </c>
      <c r="B3643" s="25" t="s">
        <v>3630</v>
      </c>
      <c r="C3643" s="2" t="str">
        <f ca="1">IFERROR(__xludf.DUMMYFUNCTION("GOOGLETRANSLATE(B3643, ""bn"", ""en"")"),"Does the teacher say that it suits you to exaggerate my religion? And was it just an exaggeration?? When he made fun of the Messenger of Allah")</f>
        <v>Does the teacher say that it suits you to exaggerate my religion? And was it just an exaggeration?? When he made fun of the Messenger of Allah</v>
      </c>
      <c r="D3643" s="5"/>
      <c r="E3643" s="5"/>
      <c r="F3643" s="5"/>
      <c r="G3643" s="5"/>
      <c r="H3643" s="5"/>
      <c r="I3643" s="5"/>
      <c r="J3643" s="5"/>
      <c r="K3643" s="5"/>
      <c r="L3643" s="5"/>
      <c r="M3643" s="5"/>
      <c r="N3643" s="5"/>
      <c r="O3643" s="5"/>
      <c r="P3643" s="5"/>
      <c r="Q3643" s="5"/>
      <c r="R3643" s="5"/>
      <c r="S3643" s="5"/>
      <c r="T3643" s="5"/>
      <c r="U3643" s="5"/>
      <c r="V3643" s="5"/>
      <c r="W3643" s="5"/>
      <c r="X3643" s="5"/>
      <c r="Y3643" s="5"/>
      <c r="Z3643" s="5"/>
    </row>
    <row r="3644" spans="1:26" ht="15.6" x14ac:dyDescent="0.3">
      <c r="A3644" s="18" t="s">
        <v>5</v>
      </c>
      <c r="B3644" s="25" t="s">
        <v>3631</v>
      </c>
      <c r="C3644" s="2" t="str">
        <f ca="1">IFERROR(__xludf.DUMMYFUNCTION("GOOGLETRANSLATE(B3644, ""bn"", ""en"")"),"The debate still arose about the relative responsibilities of Hindus and Muslims as two major communities, apart from the role of individual leaders in the killings.")</f>
        <v>The debate still arose about the relative responsibilities of Hindus and Muslims as two major communities, apart from the role of individual leaders in the killings.</v>
      </c>
      <c r="D3644" s="2"/>
      <c r="E3644" s="2"/>
      <c r="F3644" s="2"/>
      <c r="G3644" s="2"/>
      <c r="H3644" s="3"/>
      <c r="I3644" s="3"/>
      <c r="J3644" s="3"/>
      <c r="K3644" s="3"/>
      <c r="L3644" s="3"/>
      <c r="M3644" s="3"/>
      <c r="N3644" s="3"/>
      <c r="O3644" s="3"/>
      <c r="P3644" s="3"/>
      <c r="Q3644" s="3"/>
      <c r="R3644" s="3"/>
      <c r="S3644" s="3"/>
      <c r="T3644" s="3"/>
      <c r="U3644" s="3"/>
      <c r="V3644" s="3"/>
      <c r="W3644" s="3"/>
      <c r="X3644" s="3"/>
      <c r="Y3644" s="3"/>
      <c r="Z3644" s="3"/>
    </row>
    <row r="3645" spans="1:26" ht="15.6" x14ac:dyDescent="0.3">
      <c r="A3645" s="18" t="s">
        <v>3</v>
      </c>
      <c r="B3645" s="25" t="s">
        <v>3632</v>
      </c>
      <c r="C3645" s="2" t="str">
        <f ca="1">IFERROR(__xludf.DUMMYFUNCTION("GOOGLETRANSLATE(B3645, ""bn"", ""en"")"),"Negative ideas about beards, hats and burqas have been deliberately inculcated in us through dramas and movies—something that needs to be overcome. Thanks for bringing these issues up.")</f>
        <v>Negative ideas about beards, hats and burqas have been deliberately inculcated in us through dramas and movies—something that needs to be overcome. Thanks for bringing these issues up.</v>
      </c>
      <c r="D3645" s="2"/>
      <c r="E3645" s="2"/>
      <c r="F3645" s="2"/>
      <c r="G3645" s="2"/>
      <c r="H3645" s="3"/>
      <c r="I3645" s="3"/>
      <c r="J3645" s="3"/>
      <c r="K3645" s="3"/>
      <c r="L3645" s="3"/>
      <c r="M3645" s="3"/>
      <c r="N3645" s="3"/>
      <c r="O3645" s="3"/>
      <c r="P3645" s="3"/>
      <c r="Q3645" s="3"/>
      <c r="R3645" s="3"/>
      <c r="S3645" s="3"/>
      <c r="T3645" s="3"/>
      <c r="U3645" s="3"/>
      <c r="V3645" s="3"/>
      <c r="W3645" s="3"/>
      <c r="X3645" s="3"/>
      <c r="Y3645" s="3"/>
      <c r="Z3645" s="3"/>
    </row>
    <row r="3646" spans="1:26" ht="15.6" x14ac:dyDescent="0.3">
      <c r="A3646" s="21" t="s">
        <v>8</v>
      </c>
      <c r="B3646" s="25" t="s">
        <v>3633</v>
      </c>
      <c r="C3646" s="2" t="str">
        <f ca="1">IFERROR(__xludf.DUMMYFUNCTION("GOOGLETRANSLATE(B3646, ""bn"", ""en"")"),"The reconstruction of the mosque is going on in the land of the mosque. No one has been oppressed here, but the mosque and the common Muslims of the area have been oppressed by stopping the mosque's reconstruction.")</f>
        <v>The reconstruction of the mosque is going on in the land of the mosque. No one has been oppressed here, but the mosque and the common Muslims of the area have been oppressed by stopping the mosque's reconstruction.</v>
      </c>
      <c r="D3646" s="2"/>
      <c r="E3646" s="2"/>
      <c r="F3646" s="2"/>
      <c r="G3646" s="2"/>
      <c r="H3646" s="3"/>
      <c r="I3646" s="3"/>
      <c r="J3646" s="3"/>
      <c r="K3646" s="3"/>
      <c r="L3646" s="3"/>
      <c r="M3646" s="3"/>
      <c r="N3646" s="3"/>
      <c r="O3646" s="3"/>
      <c r="P3646" s="3"/>
      <c r="Q3646" s="3"/>
      <c r="R3646" s="3"/>
      <c r="S3646" s="3"/>
      <c r="T3646" s="3"/>
      <c r="U3646" s="3"/>
      <c r="V3646" s="3"/>
      <c r="W3646" s="3"/>
      <c r="X3646" s="3"/>
      <c r="Y3646" s="3"/>
      <c r="Z3646" s="3"/>
    </row>
    <row r="3647" spans="1:26" ht="15.6" x14ac:dyDescent="0.3">
      <c r="A3647" s="18" t="s">
        <v>3</v>
      </c>
      <c r="B3647" s="25" t="s">
        <v>3634</v>
      </c>
      <c r="C3647" s="2" t="str">
        <f ca="1">IFERROR(__xludf.DUMMYFUNCTION("GOOGLETRANSLATE(B3647, ""bn"", ""en"")"),"Prophet Muhammad (PBUH) did not commit any sin in his 63 years of life,,,so don't dust your feet,,,live your life according to the Prophet's Sunnah.")</f>
        <v>Prophet Muhammad (PBUH) did not commit any sin in his 63 years of life,,,so don't dust your feet,,,live your life according to the Prophet's Sunnah.</v>
      </c>
      <c r="D3647" s="5"/>
      <c r="E3647" s="5"/>
      <c r="F3647" s="5"/>
      <c r="G3647" s="5"/>
      <c r="H3647" s="5"/>
      <c r="I3647" s="5"/>
      <c r="J3647" s="5"/>
      <c r="K3647" s="5"/>
      <c r="L3647" s="5"/>
      <c r="M3647" s="5"/>
      <c r="N3647" s="5"/>
      <c r="O3647" s="5"/>
      <c r="P3647" s="5"/>
      <c r="Q3647" s="5"/>
      <c r="R3647" s="5"/>
      <c r="S3647" s="5"/>
      <c r="T3647" s="5"/>
      <c r="U3647" s="5"/>
      <c r="V3647" s="5"/>
      <c r="W3647" s="5"/>
      <c r="X3647" s="5"/>
      <c r="Y3647" s="5"/>
      <c r="Z3647" s="5"/>
    </row>
    <row r="3648" spans="1:26" ht="15.6" x14ac:dyDescent="0.3">
      <c r="A3648" s="19" t="s">
        <v>3</v>
      </c>
      <c r="B3648" s="26" t="s">
        <v>3635</v>
      </c>
      <c r="C3648" s="2" t="str">
        <f ca="1">IFERROR(__xludf.DUMMYFUNCTION("GOOGLETRANSLATE(B3648, ""bn"", ""en"")"),"Alhamdulillah. We are thankful that our government at least intervenes when we speak against Islam.")</f>
        <v>Alhamdulillah. We are thankful that our government at least intervenes when we speak against Islam.</v>
      </c>
      <c r="D3648" s="5"/>
      <c r="E3648" s="5"/>
      <c r="F3648" s="5"/>
      <c r="G3648" s="5"/>
      <c r="H3648" s="5"/>
      <c r="I3648" s="5"/>
      <c r="J3648" s="5"/>
      <c r="K3648" s="5"/>
      <c r="L3648" s="5"/>
      <c r="M3648" s="5"/>
      <c r="N3648" s="5"/>
      <c r="O3648" s="5"/>
      <c r="P3648" s="5"/>
      <c r="Q3648" s="5"/>
      <c r="R3648" s="5"/>
      <c r="S3648" s="5"/>
      <c r="T3648" s="5"/>
      <c r="U3648" s="5"/>
      <c r="V3648" s="5"/>
      <c r="W3648" s="5"/>
      <c r="X3648" s="5"/>
      <c r="Y3648" s="5"/>
      <c r="Z3648" s="5"/>
    </row>
    <row r="3649" spans="1:26" ht="15.6" x14ac:dyDescent="0.3">
      <c r="A3649" s="18" t="s">
        <v>5</v>
      </c>
      <c r="B3649" s="25" t="s">
        <v>3636</v>
      </c>
      <c r="C3649" s="2" t="str">
        <f ca="1">IFERROR(__xludf.DUMMYFUNCTION("GOOGLETRANSLATE(B3649, ""bn"", ""en"")"),"The families of the victims of suicides and murders due to religious hatred in the country do not even see the bodies of their loved ones for the last time.")</f>
        <v>The families of the victims of suicides and murders due to religious hatred in the country do not even see the bodies of their loved ones for the last time.</v>
      </c>
      <c r="D3649" s="5"/>
      <c r="E3649" s="5"/>
      <c r="F3649" s="5"/>
      <c r="G3649" s="5"/>
      <c r="H3649" s="5"/>
      <c r="I3649" s="5"/>
      <c r="J3649" s="5"/>
      <c r="K3649" s="5"/>
      <c r="L3649" s="5"/>
      <c r="M3649" s="5"/>
      <c r="N3649" s="5"/>
      <c r="O3649" s="5"/>
      <c r="P3649" s="5"/>
      <c r="Q3649" s="5"/>
      <c r="R3649" s="5"/>
      <c r="S3649" s="5"/>
      <c r="T3649" s="5"/>
      <c r="U3649" s="5"/>
      <c r="V3649" s="5"/>
      <c r="W3649" s="5"/>
      <c r="X3649" s="5"/>
      <c r="Y3649" s="5"/>
      <c r="Z3649" s="5"/>
    </row>
    <row r="3650" spans="1:26" ht="15.6" x14ac:dyDescent="0.3">
      <c r="A3650" s="19" t="s">
        <v>23</v>
      </c>
      <c r="B3650" s="26" t="s">
        <v>3637</v>
      </c>
      <c r="C3650" s="2" t="str">
        <f ca="1">IFERROR(__xludf.DUMMYFUNCTION("GOOGLETRANSLATE(B3650, ""bn"", ""en"")"),"Their names are similar to Muslims but their religion is different. They are followers of Shahbagi religion.")</f>
        <v>Their names are similar to Muslims but their religion is different. They are followers of Shahbagi religion.</v>
      </c>
      <c r="D3650" s="5"/>
      <c r="E3650" s="5"/>
      <c r="F3650" s="5"/>
      <c r="G3650" s="5"/>
      <c r="H3650" s="5"/>
      <c r="I3650" s="5"/>
      <c r="J3650" s="5"/>
      <c r="K3650" s="5"/>
      <c r="L3650" s="5"/>
      <c r="M3650" s="5"/>
      <c r="N3650" s="5"/>
      <c r="O3650" s="5"/>
      <c r="P3650" s="5"/>
      <c r="Q3650" s="5"/>
      <c r="R3650" s="5"/>
      <c r="S3650" s="5"/>
      <c r="T3650" s="5"/>
      <c r="U3650" s="5"/>
      <c r="V3650" s="5"/>
      <c r="W3650" s="5"/>
      <c r="X3650" s="5"/>
      <c r="Y3650" s="5"/>
      <c r="Z3650" s="5"/>
    </row>
    <row r="3651" spans="1:26" ht="15.6" x14ac:dyDescent="0.3">
      <c r="A3651" s="18" t="s">
        <v>8</v>
      </c>
      <c r="B3651" s="24" t="s">
        <v>3638</v>
      </c>
      <c r="C3651" s="2" t="str">
        <f ca="1">IFERROR(__xludf.DUMMYFUNCTION("GOOGLETRANSLATE(B3651, ""bn"", ""en"")"),"A group of miscreants thrashed and vandalized a Buddhist monastery in Dinajpur, fueling religious tensions in the area.")</f>
        <v>A group of miscreants thrashed and vandalized a Buddhist monastery in Dinajpur, fueling religious tensions in the area.</v>
      </c>
      <c r="D3651" s="5"/>
      <c r="E3651" s="5"/>
      <c r="F3651" s="5"/>
      <c r="G3651" s="5"/>
      <c r="H3651" s="5"/>
      <c r="I3651" s="5"/>
      <c r="J3651" s="5"/>
      <c r="K3651" s="5"/>
      <c r="L3651" s="5"/>
      <c r="M3651" s="5"/>
      <c r="N3651" s="5"/>
      <c r="O3651" s="5"/>
      <c r="P3651" s="5"/>
      <c r="Q3651" s="5"/>
      <c r="R3651" s="5"/>
      <c r="S3651" s="5"/>
      <c r="T3651" s="5"/>
      <c r="U3651" s="5"/>
      <c r="V3651" s="5"/>
      <c r="W3651" s="5"/>
      <c r="X3651" s="5"/>
      <c r="Y3651" s="5"/>
      <c r="Z3651" s="5"/>
    </row>
    <row r="3652" spans="1:26" ht="15.6" x14ac:dyDescent="0.3">
      <c r="A3652" s="18" t="s">
        <v>23</v>
      </c>
      <c r="B3652" s="25" t="s">
        <v>3639</v>
      </c>
      <c r="C3652" s="2" t="str">
        <f ca="1">IFERROR(__xludf.DUMMYFUNCTION("GOOGLETRANSLATE(B3652, ""bn"", ""en"")"),"May Allah protect our Holy Qur'an and punish the wrongdoers who are trying to burn our Holy Qur'an more and more hard.")</f>
        <v>May Allah protect our Holy Qur'an and punish the wrongdoers who are trying to burn our Holy Qur'an more and more hard.</v>
      </c>
      <c r="D3652" s="5"/>
      <c r="E3652" s="5"/>
      <c r="F3652" s="5"/>
      <c r="G3652" s="5"/>
      <c r="H3652" s="5"/>
      <c r="I3652" s="5"/>
      <c r="J3652" s="5"/>
      <c r="K3652" s="5"/>
      <c r="L3652" s="5"/>
      <c r="M3652" s="5"/>
      <c r="N3652" s="5"/>
      <c r="O3652" s="5"/>
      <c r="P3652" s="5"/>
      <c r="Q3652" s="5"/>
      <c r="R3652" s="5"/>
      <c r="S3652" s="5"/>
      <c r="T3652" s="5"/>
      <c r="U3652" s="5"/>
      <c r="V3652" s="5"/>
      <c r="W3652" s="5"/>
      <c r="X3652" s="5"/>
      <c r="Y3652" s="5"/>
      <c r="Z3652" s="5"/>
    </row>
    <row r="3653" spans="1:26" ht="15.6" x14ac:dyDescent="0.3">
      <c r="A3653" s="18" t="s">
        <v>5</v>
      </c>
      <c r="B3653" s="24" t="s">
        <v>3640</v>
      </c>
      <c r="C3653" s="2" t="str">
        <f ca="1">IFERROR(__xludf.DUMMYFUNCTION("GOOGLETRANSLATE(B3653, ""bn"", ""en"")"),"In January 2020, a woman was fired from her job on religious grounds; He committed suicide under pressure of poverty; Another 9 committed suicide due to unsympathetic behaviour.")</f>
        <v>In January 2020, a woman was fired from her job on religious grounds; He committed suicide under pressure of poverty; Another 9 committed suicide due to unsympathetic behaviour.</v>
      </c>
      <c r="D3653" s="5"/>
      <c r="E3653" s="5"/>
      <c r="F3653" s="5"/>
      <c r="G3653" s="5"/>
      <c r="H3653" s="5"/>
      <c r="I3653" s="5"/>
      <c r="J3653" s="5"/>
      <c r="K3653" s="5"/>
      <c r="L3653" s="5"/>
      <c r="M3653" s="5"/>
      <c r="N3653" s="5"/>
      <c r="O3653" s="5"/>
      <c r="P3653" s="5"/>
      <c r="Q3653" s="5"/>
      <c r="R3653" s="5"/>
      <c r="S3653" s="5"/>
      <c r="T3653" s="5"/>
      <c r="U3653" s="5"/>
      <c r="V3653" s="5"/>
      <c r="W3653" s="5"/>
      <c r="X3653" s="5"/>
      <c r="Y3653" s="5"/>
      <c r="Z3653" s="5"/>
    </row>
    <row r="3654" spans="1:26" ht="15.6" x14ac:dyDescent="0.3">
      <c r="A3654" s="19" t="s">
        <v>3</v>
      </c>
      <c r="B3654" s="26" t="s">
        <v>3641</v>
      </c>
      <c r="C3654" s="2" t="str">
        <f ca="1">IFERROR(__xludf.DUMMYFUNCTION("GOOGLETRANSLATE(B3654, ""bn"", ""en"")"),"Although the parties in religious politics differ on their ideologies, the ruling party has strengthened its ties with the minorities.")</f>
        <v>Although the parties in religious politics differ on their ideologies, the ruling party has strengthened its ties with the minorities.</v>
      </c>
      <c r="D3654" s="7"/>
      <c r="E3654" s="7"/>
      <c r="F3654" s="7"/>
      <c r="G3654" s="7"/>
      <c r="H3654" s="7"/>
      <c r="I3654" s="7"/>
      <c r="J3654" s="5"/>
      <c r="K3654" s="5"/>
      <c r="L3654" s="5"/>
      <c r="M3654" s="5"/>
      <c r="N3654" s="5"/>
      <c r="O3654" s="5"/>
      <c r="P3654" s="5"/>
      <c r="Q3654" s="5"/>
      <c r="R3654" s="5"/>
      <c r="S3654" s="5"/>
      <c r="T3654" s="5"/>
      <c r="U3654" s="5"/>
      <c r="V3654" s="5"/>
      <c r="W3654" s="5"/>
      <c r="X3654" s="5"/>
      <c r="Y3654" s="5"/>
      <c r="Z3654" s="5"/>
    </row>
    <row r="3655" spans="1:26" ht="15.6" x14ac:dyDescent="0.3">
      <c r="A3655" s="18" t="s">
        <v>3</v>
      </c>
      <c r="B3655" s="25" t="s">
        <v>3642</v>
      </c>
      <c r="C3655" s="2" t="str">
        <f ca="1">IFERROR(__xludf.DUMMYFUNCTION("GOOGLETRANSLATE(B3655, ""bn"", ""en"")"),"Islam prescribes veiling for women, which prohibits them from traveling without a male guardian, thereby limiting women's participation in social activities.")</f>
        <v>Islam prescribes veiling for women, which prohibits them from traveling without a male guardian, thereby limiting women's participation in social activities.</v>
      </c>
      <c r="D3655" s="5"/>
      <c r="E3655" s="5"/>
      <c r="F3655" s="5"/>
      <c r="G3655" s="5"/>
      <c r="H3655" s="5"/>
      <c r="I3655" s="5"/>
      <c r="J3655" s="5"/>
      <c r="K3655" s="5"/>
      <c r="L3655" s="5"/>
      <c r="M3655" s="5"/>
      <c r="N3655" s="5"/>
      <c r="O3655" s="5"/>
      <c r="P3655" s="5"/>
      <c r="Q3655" s="5"/>
      <c r="R3655" s="5"/>
      <c r="S3655" s="5"/>
      <c r="T3655" s="5"/>
      <c r="U3655" s="5"/>
      <c r="V3655" s="5"/>
      <c r="W3655" s="5"/>
      <c r="X3655" s="5"/>
      <c r="Y3655" s="5"/>
      <c r="Z3655" s="5"/>
    </row>
    <row r="3656" spans="1:26" ht="15.6" x14ac:dyDescent="0.3">
      <c r="A3656" s="18" t="s">
        <v>8</v>
      </c>
      <c r="B3656" s="25" t="s">
        <v>3643</v>
      </c>
      <c r="C3656" s="2" t="str">
        <f ca="1">IFERROR(__xludf.DUMMYFUNCTION("GOOGLETRANSLATE(B3656, ""bn"", ""en"")"),"Any statement, opinion, or news item related to religious violence that is prohibited: (1) mention of the location of the riot, (2) the type of torture, (3) the name of the persecuted or attacked religious group, (4) destroyed mosques, temples or Name of "&amp;"the temple.")</f>
        <v>Any statement, opinion, or news item related to religious violence that is prohibited: (1) mention of the location of the riot, (2) the type of torture, (3) the name of the persecuted or attacked religious group, (4) destroyed mosques, temples or Name of the temple.</v>
      </c>
      <c r="D3656" s="6"/>
      <c r="E3656" s="6"/>
      <c r="F3656" s="6"/>
      <c r="G3656" s="6"/>
      <c r="H3656" s="3"/>
      <c r="I3656" s="3"/>
      <c r="J3656" s="3"/>
      <c r="K3656" s="3"/>
      <c r="L3656" s="3"/>
      <c r="M3656" s="3"/>
      <c r="N3656" s="3"/>
      <c r="O3656" s="3"/>
      <c r="P3656" s="3"/>
      <c r="Q3656" s="3"/>
      <c r="R3656" s="3"/>
      <c r="S3656" s="3"/>
      <c r="T3656" s="3"/>
      <c r="U3656" s="3"/>
      <c r="V3656" s="3"/>
      <c r="W3656" s="3"/>
      <c r="X3656" s="3"/>
      <c r="Y3656" s="3"/>
      <c r="Z3656" s="3"/>
    </row>
    <row r="3657" spans="1:26" ht="15.6" x14ac:dyDescent="0.3">
      <c r="A3657" s="18" t="s">
        <v>5</v>
      </c>
      <c r="B3657" s="25" t="s">
        <v>3644</v>
      </c>
      <c r="C3657" s="2" t="str">
        <f ca="1">IFERROR(__xludf.DUMMYFUNCTION("GOOGLETRANSLATE(B3657, ""bn"", ""en"")"),"Those who engage in enmity against Allah and His Messenger and intend to create turmoil and calamity in the world, are punished only by death, crucifixion or amputation of the opposite side of the hand or foot, or exile.")</f>
        <v>Those who engage in enmity against Allah and His Messenger and intend to create turmoil and calamity in the world, are punished only by death, crucifixion or amputation of the opposite side of the hand or foot, or exile.</v>
      </c>
      <c r="D3657" s="6"/>
      <c r="E3657" s="6"/>
      <c r="F3657" s="6"/>
      <c r="G3657" s="2"/>
      <c r="H3657" s="3"/>
      <c r="I3657" s="3"/>
      <c r="J3657" s="3"/>
      <c r="K3657" s="3"/>
      <c r="L3657" s="3"/>
      <c r="M3657" s="3"/>
      <c r="N3657" s="3"/>
      <c r="O3657" s="3"/>
      <c r="P3657" s="3"/>
      <c r="Q3657" s="3"/>
      <c r="R3657" s="3"/>
      <c r="S3657" s="3"/>
      <c r="T3657" s="3"/>
      <c r="U3657" s="3"/>
      <c r="V3657" s="3"/>
      <c r="W3657" s="3"/>
      <c r="X3657" s="3"/>
      <c r="Y3657" s="3"/>
      <c r="Z3657" s="3"/>
    </row>
    <row r="3658" spans="1:26" ht="15.6" x14ac:dyDescent="0.3">
      <c r="A3658" s="19" t="s">
        <v>23</v>
      </c>
      <c r="B3658" s="26" t="s">
        <v>3645</v>
      </c>
      <c r="C3658" s="2" t="str">
        <f ca="1">IFERROR(__xludf.DUMMYFUNCTION("GOOGLETRANSLATE(B3658, ""bn"", ""en"")"),"I demand exemplary punishment of all those involved in inhuman demonic activities along with desecration of Quran.")</f>
        <v>I demand exemplary punishment of all those involved in inhuman demonic activities along with desecration of Quran.</v>
      </c>
      <c r="D3658" s="5"/>
      <c r="E3658" s="5"/>
      <c r="F3658" s="5"/>
      <c r="G3658" s="5"/>
      <c r="H3658" s="5"/>
      <c r="I3658" s="5"/>
      <c r="J3658" s="5"/>
      <c r="K3658" s="5"/>
      <c r="L3658" s="5"/>
      <c r="M3658" s="5"/>
      <c r="N3658" s="5"/>
      <c r="O3658" s="5"/>
      <c r="P3658" s="5"/>
      <c r="Q3658" s="5"/>
      <c r="R3658" s="5"/>
      <c r="S3658" s="5"/>
      <c r="T3658" s="5"/>
      <c r="U3658" s="5"/>
      <c r="V3658" s="5"/>
      <c r="W3658" s="5"/>
      <c r="X3658" s="5"/>
      <c r="Y3658" s="5"/>
      <c r="Z3658" s="5"/>
    </row>
    <row r="3659" spans="1:26" ht="15.6" x14ac:dyDescent="0.3">
      <c r="A3659" s="19" t="s">
        <v>5</v>
      </c>
      <c r="B3659" s="26" t="s">
        <v>3646</v>
      </c>
      <c r="C3659" s="2" t="str">
        <f ca="1">IFERROR(__xludf.DUMMYFUNCTION("GOOGLETRANSLATE(B3659, ""bn"", ""en"")"),"You can't say anything in support of Nazis there, it's forbidden by law. Genocide denial is prohibited by law in Armenia. Does it include full freedom of expression?")</f>
        <v>You can't say anything in support of Nazis there, it's forbidden by law. Genocide denial is prohibited by law in Armenia. Does it include full freedom of expression?</v>
      </c>
      <c r="D3659" s="5"/>
      <c r="E3659" s="5"/>
      <c r="F3659" s="5"/>
      <c r="G3659" s="5"/>
      <c r="H3659" s="5"/>
      <c r="I3659" s="5"/>
      <c r="J3659" s="5"/>
      <c r="K3659" s="5"/>
      <c r="L3659" s="5"/>
      <c r="M3659" s="5"/>
      <c r="N3659" s="5"/>
      <c r="O3659" s="5"/>
      <c r="P3659" s="5"/>
      <c r="Q3659" s="5"/>
      <c r="R3659" s="5"/>
      <c r="S3659" s="5"/>
      <c r="T3659" s="5"/>
      <c r="U3659" s="5"/>
      <c r="V3659" s="5"/>
      <c r="W3659" s="5"/>
      <c r="X3659" s="5"/>
      <c r="Y3659" s="5"/>
      <c r="Z3659" s="5"/>
    </row>
    <row r="3660" spans="1:26" ht="15.6" x14ac:dyDescent="0.3">
      <c r="A3660" s="18" t="s">
        <v>8</v>
      </c>
      <c r="B3660" s="25" t="s">
        <v>3647</v>
      </c>
      <c r="C3660" s="2" t="str">
        <f ca="1">IFERROR(__xludf.DUMMYFUNCTION("GOOGLETRANSLATE(B3660, ""bn"", ""en"")"),"They are accepting Buddhism today while enduring the insults and persecution of Hinduism, tomorrow they may demolish temples and build Buddhist monasteries to bring justice in the name of religion.")</f>
        <v>They are accepting Buddhism today while enduring the insults and persecution of Hinduism, tomorrow they may demolish temples and build Buddhist monasteries to bring justice in the name of religion.</v>
      </c>
      <c r="D3660" s="5"/>
      <c r="E3660" s="5"/>
      <c r="F3660" s="5"/>
      <c r="G3660" s="5"/>
      <c r="H3660" s="5"/>
      <c r="I3660" s="5"/>
      <c r="J3660" s="5"/>
      <c r="K3660" s="5"/>
      <c r="L3660" s="5"/>
      <c r="M3660" s="5"/>
      <c r="N3660" s="5"/>
      <c r="O3660" s="5"/>
      <c r="P3660" s="5"/>
      <c r="Q3660" s="5"/>
      <c r="R3660" s="5"/>
      <c r="S3660" s="5"/>
      <c r="T3660" s="5"/>
      <c r="U3660" s="5"/>
      <c r="V3660" s="5"/>
      <c r="W3660" s="5"/>
      <c r="X3660" s="5"/>
      <c r="Y3660" s="5"/>
      <c r="Z3660" s="5"/>
    </row>
    <row r="3661" spans="1:26" ht="15.6" x14ac:dyDescent="0.3">
      <c r="A3661" s="18" t="s">
        <v>8</v>
      </c>
      <c r="B3661" s="25" t="s">
        <v>3648</v>
      </c>
      <c r="C3661" s="2" t="str">
        <f ca="1">IFERROR(__xludf.DUMMYFUNCTION("GOOGLETRANSLATE(B3661, ""bn"", ""en"")"),"On 15th February the house of Dinendra Chandra Dev Purkayastha of Gangajal village was looted and occupied by Muslim miscreants. An attack was launched at Silani village under the control of Bahubal (formerly a sub-division of Karimganj) police station at"&amp;" 9 am.")</f>
        <v>On 15th February the house of Dinendra Chandra Dev Purkayastha of Gangajal village was looted and occupied by Muslim miscreants. An attack was launched at Silani village under the control of Bahubal (formerly a sub-division of Karimganj) police station at 9 am.</v>
      </c>
      <c r="D3661" s="5"/>
      <c r="E3661" s="5"/>
      <c r="F3661" s="5"/>
      <c r="G3661" s="5"/>
      <c r="H3661" s="5"/>
      <c r="I3661" s="5"/>
      <c r="J3661" s="5"/>
      <c r="K3661" s="5"/>
      <c r="L3661" s="5"/>
      <c r="M3661" s="5"/>
      <c r="N3661" s="5"/>
      <c r="O3661" s="5"/>
      <c r="P3661" s="5"/>
      <c r="Q3661" s="5"/>
      <c r="R3661" s="5"/>
      <c r="S3661" s="5"/>
      <c r="T3661" s="5"/>
      <c r="U3661" s="5"/>
      <c r="V3661" s="5"/>
      <c r="W3661" s="5"/>
      <c r="X3661" s="5"/>
      <c r="Y3661" s="5"/>
      <c r="Z3661" s="5"/>
    </row>
    <row r="3662" spans="1:26" ht="15.6" x14ac:dyDescent="0.3">
      <c r="A3662" s="19" t="s">
        <v>8</v>
      </c>
      <c r="B3662" s="26" t="s">
        <v>3649</v>
      </c>
      <c r="C3662" s="2" t="str">
        <f ca="1">IFERROR(__xludf.DUMMYFUNCTION("GOOGLETRANSLATE(B3662, ""bn"", ""en"")"),"In 2017, excitement spread over the construction of a new religious building next to a mosque in Sirajganj. At one stage, the main gate of the temple was broken in the clash.")</f>
        <v>In 2017, excitement spread over the construction of a new religious building next to a mosque in Sirajganj. At one stage, the main gate of the temple was broken in the clash.</v>
      </c>
      <c r="D3662" s="5"/>
      <c r="E3662" s="5"/>
      <c r="F3662" s="5"/>
      <c r="G3662" s="5"/>
      <c r="H3662" s="5"/>
      <c r="I3662" s="5"/>
      <c r="J3662" s="5"/>
      <c r="K3662" s="5"/>
      <c r="L3662" s="5"/>
      <c r="M3662" s="5"/>
      <c r="N3662" s="5"/>
      <c r="O3662" s="5"/>
      <c r="P3662" s="5"/>
      <c r="Q3662" s="5"/>
      <c r="R3662" s="5"/>
      <c r="S3662" s="5"/>
      <c r="T3662" s="5"/>
      <c r="U3662" s="5"/>
      <c r="V3662" s="5"/>
      <c r="W3662" s="5"/>
      <c r="X3662" s="5"/>
      <c r="Y3662" s="5"/>
      <c r="Z3662" s="5"/>
    </row>
    <row r="3663" spans="1:26" ht="15.6" x14ac:dyDescent="0.3">
      <c r="A3663" s="18" t="s">
        <v>8</v>
      </c>
      <c r="B3663" s="25" t="s">
        <v>3650</v>
      </c>
      <c r="C3663" s="2" t="str">
        <f ca="1">IFERROR(__xludf.DUMMYFUNCTION("GOOGLETRANSLATE(B3663, ""bn"", ""en"")"),"On the night of October 16, 2021, hundreds of thousands of local Muslims caused violence in three Hindu-dominated villages of Ramnathpur Union in Pirganj Upazila of Rangpur District due to allegedly offensive comments on the image of Kaaba Sharif on socia"&amp;"l media Facebook.")</f>
        <v>On the night of October 16, 2021, hundreds of thousands of local Muslims caused violence in three Hindu-dominated villages of Ramnathpur Union in Pirganj Upazila of Rangpur District due to allegedly offensive comments on the image of Kaaba Sharif on social media Facebook.</v>
      </c>
      <c r="D3663" s="5"/>
      <c r="E3663" s="5"/>
      <c r="F3663" s="5"/>
      <c r="G3663" s="5"/>
      <c r="H3663" s="5"/>
      <c r="I3663" s="5"/>
      <c r="J3663" s="5"/>
      <c r="K3663" s="5"/>
      <c r="L3663" s="5"/>
      <c r="M3663" s="5"/>
      <c r="N3663" s="5"/>
      <c r="O3663" s="5"/>
      <c r="P3663" s="5"/>
      <c r="Q3663" s="5"/>
      <c r="R3663" s="5"/>
      <c r="S3663" s="5"/>
      <c r="T3663" s="5"/>
      <c r="U3663" s="5"/>
      <c r="V3663" s="5"/>
      <c r="W3663" s="5"/>
      <c r="X3663" s="5"/>
      <c r="Y3663" s="5"/>
      <c r="Z3663" s="5"/>
    </row>
    <row r="3664" spans="1:26" ht="15.6" x14ac:dyDescent="0.3">
      <c r="A3664" s="18" t="s">
        <v>5</v>
      </c>
      <c r="B3664" s="24" t="s">
        <v>3651</v>
      </c>
      <c r="C3664" s="2" t="str">
        <f ca="1">IFERROR(__xludf.DUMMYFUNCTION("GOOGLETRANSLATE(B3664, ""bn"", ""en"")"),"In Rajshahi, religious groups engaged in two clashes. The police rushed to calm the situation, but the mob pelted them with stones. At least 55 people were killed during the clashes. Angry mobs burnt houses and temples. Many injured people were admitted t"&amp;"o hospital. Many minority families fled their villages due to lack of security.")</f>
        <v>In Rajshahi, religious groups engaged in two clashes. The police rushed to calm the situation, but the mob pelted them with stones. At least 55 people were killed during the clashes. Angry mobs burnt houses and temples. Many injured people were admitted to hospital. Many minority families fled their villages due to lack of security.</v>
      </c>
      <c r="D3664" s="5"/>
      <c r="E3664" s="5"/>
      <c r="F3664" s="5"/>
      <c r="G3664" s="5"/>
      <c r="H3664" s="5"/>
      <c r="I3664" s="5"/>
      <c r="J3664" s="5"/>
      <c r="K3664" s="5"/>
      <c r="L3664" s="5"/>
      <c r="M3664" s="5"/>
      <c r="N3664" s="5"/>
      <c r="O3664" s="5"/>
      <c r="P3664" s="5"/>
      <c r="Q3664" s="5"/>
      <c r="R3664" s="5"/>
      <c r="S3664" s="5"/>
      <c r="T3664" s="5"/>
      <c r="U3664" s="5"/>
      <c r="V3664" s="5"/>
      <c r="W3664" s="5"/>
      <c r="X3664" s="5"/>
      <c r="Y3664" s="5"/>
      <c r="Z3664" s="5"/>
    </row>
    <row r="3665" spans="1:26" ht="15.6" x14ac:dyDescent="0.3">
      <c r="A3665" s="18" t="s">
        <v>3</v>
      </c>
      <c r="B3665" s="24" t="s">
        <v>3652</v>
      </c>
      <c r="C3665" s="2" t="str">
        <f ca="1">IFERROR(__xludf.DUMMYFUNCTION("GOOGLETRANSLATE(B3665, ""bn"", ""en"")"),"Religious books are not only for reading but also for applying in life.")</f>
        <v>Religious books are not only for reading but also for applying in life.</v>
      </c>
      <c r="D3665" s="5"/>
      <c r="E3665" s="5"/>
      <c r="F3665" s="5"/>
      <c r="G3665" s="5"/>
      <c r="H3665" s="5"/>
      <c r="I3665" s="5"/>
      <c r="J3665" s="5"/>
      <c r="K3665" s="5"/>
      <c r="L3665" s="5"/>
      <c r="M3665" s="5"/>
      <c r="N3665" s="5"/>
      <c r="O3665" s="5"/>
      <c r="P3665" s="5"/>
      <c r="Q3665" s="5"/>
      <c r="R3665" s="5"/>
      <c r="S3665" s="5"/>
      <c r="T3665" s="5"/>
      <c r="U3665" s="5"/>
      <c r="V3665" s="5"/>
      <c r="W3665" s="5"/>
      <c r="X3665" s="5"/>
      <c r="Y3665" s="5"/>
      <c r="Z3665" s="5"/>
    </row>
    <row r="3666" spans="1:26" ht="15.6" x14ac:dyDescent="0.3">
      <c r="A3666" s="18" t="s">
        <v>5</v>
      </c>
      <c r="B3666" s="24" t="s">
        <v>3653</v>
      </c>
      <c r="C3666" s="2" t="str">
        <f ca="1">IFERROR(__xludf.DUMMYFUNCTION("GOOGLETRANSLATE(B3666, ""bn"", ""en"")"),"In October 2017, a group imposed taxes on minorities and burned their homes when they failed to pay, killing 26 people.")</f>
        <v>In October 2017, a group imposed taxes on minorities and burned their homes when they failed to pay, killing 26 people.</v>
      </c>
      <c r="D3666" s="5"/>
      <c r="E3666" s="5"/>
      <c r="F3666" s="5"/>
      <c r="G3666" s="5"/>
      <c r="H3666" s="5"/>
      <c r="I3666" s="5"/>
      <c r="J3666" s="5"/>
      <c r="K3666" s="5"/>
      <c r="L3666" s="5"/>
      <c r="M3666" s="5"/>
      <c r="N3666" s="5"/>
      <c r="O3666" s="5"/>
      <c r="P3666" s="5"/>
      <c r="Q3666" s="5"/>
      <c r="R3666" s="5"/>
      <c r="S3666" s="5"/>
      <c r="T3666" s="5"/>
      <c r="U3666" s="5"/>
      <c r="V3666" s="5"/>
      <c r="W3666" s="5"/>
      <c r="X3666" s="5"/>
      <c r="Y3666" s="5"/>
      <c r="Z3666" s="5"/>
    </row>
    <row r="3667" spans="1:26" ht="15.6" x14ac:dyDescent="0.3">
      <c r="A3667" s="18" t="s">
        <v>23</v>
      </c>
      <c r="B3667" s="25" t="s">
        <v>3654</v>
      </c>
      <c r="C3667" s="2" t="str">
        <f ca="1">IFERROR(__xludf.DUMMYFUNCTION("GOOGLETRANSLATE(B3667, ""bn"", ""en"")"),"Don't attack the Gentiles with harsh words, please explain, or they will have more opportunities to bring us down.")</f>
        <v>Don't attack the Gentiles with harsh words, please explain, or they will have more opportunities to bring us down.</v>
      </c>
      <c r="D3667" s="2"/>
      <c r="E3667" s="2"/>
      <c r="F3667" s="2"/>
      <c r="G3667" s="2"/>
      <c r="H3667" s="5"/>
      <c r="I3667" s="5"/>
      <c r="J3667" s="5"/>
      <c r="K3667" s="5"/>
      <c r="L3667" s="5"/>
      <c r="M3667" s="5"/>
      <c r="N3667" s="5"/>
      <c r="O3667" s="5"/>
      <c r="P3667" s="5"/>
      <c r="Q3667" s="5"/>
      <c r="R3667" s="5"/>
      <c r="S3667" s="5"/>
      <c r="T3667" s="5"/>
      <c r="U3667" s="5"/>
      <c r="V3667" s="5"/>
      <c r="W3667" s="5"/>
      <c r="X3667" s="5"/>
      <c r="Y3667" s="5"/>
      <c r="Z3667" s="5"/>
    </row>
    <row r="3668" spans="1:26" ht="15.6" x14ac:dyDescent="0.3">
      <c r="A3668" s="18" t="s">
        <v>8</v>
      </c>
      <c r="B3668" s="24" t="s">
        <v>3655</v>
      </c>
      <c r="C3668" s="2" t="str">
        <f ca="1">IFERROR(__xludf.DUMMYFUNCTION("GOOGLETRANSLATE(B3668, ""bn"", ""en"")"),"Clay idols were broken one by one after entering the rural Kalimandir in Habiganj and scattered its pieces on the streets.")</f>
        <v>Clay idols were broken one by one after entering the rural Kalimandir in Habiganj and scattered its pieces on the streets.</v>
      </c>
      <c r="D3668" s="5"/>
      <c r="E3668" s="5"/>
      <c r="F3668" s="5"/>
      <c r="G3668" s="5"/>
      <c r="H3668" s="5"/>
      <c r="I3668" s="5"/>
      <c r="J3668" s="5"/>
      <c r="K3668" s="5"/>
      <c r="L3668" s="5"/>
      <c r="M3668" s="5"/>
      <c r="N3668" s="5"/>
      <c r="O3668" s="5"/>
      <c r="P3668" s="5"/>
      <c r="Q3668" s="5"/>
      <c r="R3668" s="5"/>
      <c r="S3668" s="5"/>
      <c r="T3668" s="5"/>
      <c r="U3668" s="5"/>
      <c r="V3668" s="5"/>
      <c r="W3668" s="5"/>
      <c r="X3668" s="5"/>
      <c r="Y3668" s="5"/>
      <c r="Z3668" s="5"/>
    </row>
    <row r="3669" spans="1:26" ht="15.6" x14ac:dyDescent="0.3">
      <c r="A3669" s="18" t="s">
        <v>3</v>
      </c>
      <c r="B3669" s="25" t="s">
        <v>3656</v>
      </c>
      <c r="C3669" s="2" t="str">
        <f ca="1">IFERROR(__xludf.DUMMYFUNCTION("GOOGLETRANSLATE(B3669, ""bn"", ""en"")"),"May Allah grant you Jannatul Ferdous for giving such videos, I am learning a lot through these videos. No more time to sit around, have to meet Rob one day.")</f>
        <v>May Allah grant you Jannatul Ferdous for giving such videos, I am learning a lot through these videos. No more time to sit around, have to meet Rob one day.</v>
      </c>
      <c r="D3669" s="5"/>
      <c r="E3669" s="5"/>
      <c r="F3669" s="5"/>
      <c r="G3669" s="5"/>
      <c r="H3669" s="5"/>
      <c r="I3669" s="5"/>
      <c r="J3669" s="5"/>
      <c r="K3669" s="5"/>
      <c r="L3669" s="5"/>
      <c r="M3669" s="5"/>
      <c r="N3669" s="5"/>
      <c r="O3669" s="5"/>
      <c r="P3669" s="5"/>
      <c r="Q3669" s="5"/>
      <c r="R3669" s="5"/>
      <c r="S3669" s="5"/>
      <c r="T3669" s="5"/>
      <c r="U3669" s="5"/>
      <c r="V3669" s="5"/>
      <c r="W3669" s="5"/>
      <c r="X3669" s="5"/>
      <c r="Y3669" s="5"/>
      <c r="Z3669" s="5"/>
    </row>
    <row r="3670" spans="1:26" ht="15.6" x14ac:dyDescent="0.3">
      <c r="A3670" s="18" t="s">
        <v>23</v>
      </c>
      <c r="B3670" s="25" t="s">
        <v>3657</v>
      </c>
      <c r="C3670" s="2" t="str">
        <f ca="1">IFERROR(__xludf.DUMMYFUNCTION("GOOGLETRANSLATE(B3670, ""bn"", ""en"")"),"If people are busy proving themselves ""superior"" without learning to respect other religions, then religious tolerance will not develop in the society.")</f>
        <v>If people are busy proving themselves "superior" without learning to respect other religions, then religious tolerance will not develop in the society.</v>
      </c>
      <c r="D3670" s="2"/>
      <c r="E3670" s="2"/>
      <c r="F3670" s="2"/>
      <c r="G3670" s="2"/>
      <c r="H3670" s="5"/>
      <c r="I3670" s="5"/>
      <c r="J3670" s="5"/>
      <c r="K3670" s="5"/>
      <c r="L3670" s="5"/>
      <c r="M3670" s="5"/>
      <c r="N3670" s="5"/>
      <c r="O3670" s="5"/>
      <c r="P3670" s="5"/>
      <c r="Q3670" s="5"/>
      <c r="R3670" s="5"/>
      <c r="S3670" s="5"/>
      <c r="T3670" s="5"/>
      <c r="U3670" s="5"/>
      <c r="V3670" s="5"/>
      <c r="W3670" s="5"/>
      <c r="X3670" s="5"/>
      <c r="Y3670" s="5"/>
      <c r="Z3670" s="5"/>
    </row>
    <row r="3671" spans="1:26" ht="15.6" x14ac:dyDescent="0.3">
      <c r="A3671" s="18" t="s">
        <v>5</v>
      </c>
      <c r="B3671" s="24" t="s">
        <v>3658</v>
      </c>
      <c r="C3671" s="2" t="str">
        <f ca="1">IFERROR(__xludf.DUMMYFUNCTION("GOOGLETRANSLATE(B3671, ""bn"", ""en"")"),"At least 31 people were killed and many houses were burnt in Jhalkathi Hindu-Muslim clashes.")</f>
        <v>At least 31 people were killed and many houses were burnt in Jhalkathi Hindu-Muslim clashes.</v>
      </c>
      <c r="D3671" s="5"/>
      <c r="E3671" s="5"/>
      <c r="F3671" s="5"/>
      <c r="G3671" s="5"/>
      <c r="H3671" s="5"/>
      <c r="I3671" s="5"/>
      <c r="J3671" s="5"/>
      <c r="K3671" s="5"/>
      <c r="L3671" s="5"/>
      <c r="M3671" s="5"/>
      <c r="N3671" s="5"/>
      <c r="O3671" s="5"/>
      <c r="P3671" s="5"/>
      <c r="Q3671" s="5"/>
      <c r="R3671" s="5"/>
      <c r="S3671" s="5"/>
      <c r="T3671" s="5"/>
      <c r="U3671" s="5"/>
      <c r="V3671" s="5"/>
      <c r="W3671" s="5"/>
      <c r="X3671" s="5"/>
      <c r="Y3671" s="5"/>
      <c r="Z3671" s="5"/>
    </row>
    <row r="3672" spans="1:26" ht="15.6" x14ac:dyDescent="0.3">
      <c r="A3672" s="18" t="s">
        <v>5</v>
      </c>
      <c r="B3672" s="24" t="s">
        <v>3659</v>
      </c>
      <c r="C3672" s="2" t="str">
        <f ca="1">IFERROR(__xludf.DUMMYFUNCTION("GOOGLETRANSLATE(B3672, ""bn"", ""en"")"),"In January 2025, the Hindu Buddhist Christian Unity Council reported that there were 2010 incidents of communal violence between August 2024 and December 2024, in which 23 people were killed and 9 were raped.")</f>
        <v>In January 2025, the Hindu Buddhist Christian Unity Council reported that there were 2010 incidents of communal violence between August 2024 and December 2024, in which 23 people were killed and 9 were raped.</v>
      </c>
      <c r="D3672" s="5"/>
      <c r="E3672" s="5"/>
      <c r="F3672" s="5"/>
      <c r="G3672" s="5"/>
      <c r="H3672" s="5"/>
      <c r="I3672" s="5"/>
      <c r="J3672" s="5"/>
      <c r="K3672" s="5"/>
      <c r="L3672" s="5"/>
      <c r="M3672" s="5"/>
      <c r="N3672" s="5"/>
      <c r="O3672" s="5"/>
      <c r="P3672" s="5"/>
      <c r="Q3672" s="5"/>
      <c r="R3672" s="5"/>
      <c r="S3672" s="5"/>
      <c r="T3672" s="5"/>
      <c r="U3672" s="5"/>
      <c r="V3672" s="5"/>
      <c r="W3672" s="5"/>
      <c r="X3672" s="5"/>
      <c r="Y3672" s="5"/>
      <c r="Z3672" s="5"/>
    </row>
    <row r="3673" spans="1:26" ht="15.6" x14ac:dyDescent="0.3">
      <c r="A3673" s="18" t="s">
        <v>5</v>
      </c>
      <c r="B3673" s="24" t="s">
        <v>3660</v>
      </c>
      <c r="C3673" s="2" t="str">
        <f ca="1">IFERROR(__xludf.DUMMYFUNCTION("GOOGLETRANSLATE(B3673, ""bn"", ""en"")"),"A racist group carried out a brutal attack on minority Hindus in Rajshahi, killing 38 people. Many houses and pujamandap were destroyed in the attack. Many men and women were injured. The local administration failed to control the situation.")</f>
        <v>A racist group carried out a brutal attack on minority Hindus in Rajshahi, killing 38 people. Many houses and pujamandap were destroyed in the attack. Many men and women were injured. The local administration failed to control the situation.</v>
      </c>
      <c r="D3673" s="5"/>
      <c r="E3673" s="5"/>
      <c r="F3673" s="5"/>
      <c r="G3673" s="5"/>
      <c r="H3673" s="5"/>
      <c r="I3673" s="5"/>
      <c r="J3673" s="5"/>
      <c r="K3673" s="5"/>
      <c r="L3673" s="5"/>
      <c r="M3673" s="5"/>
      <c r="N3673" s="5"/>
      <c r="O3673" s="5"/>
      <c r="P3673" s="5"/>
      <c r="Q3673" s="5"/>
      <c r="R3673" s="5"/>
      <c r="S3673" s="5"/>
      <c r="T3673" s="5"/>
      <c r="U3673" s="5"/>
      <c r="V3673" s="5"/>
      <c r="W3673" s="5"/>
      <c r="X3673" s="5"/>
      <c r="Y3673" s="5"/>
      <c r="Z3673" s="5"/>
    </row>
    <row r="3674" spans="1:26" ht="15.6" x14ac:dyDescent="0.3">
      <c r="A3674" s="18" t="s">
        <v>23</v>
      </c>
      <c r="B3674" s="24" t="s">
        <v>3661</v>
      </c>
      <c r="C3674" s="2" t="str">
        <f ca="1">IFERROR(__xludf.DUMMYFUNCTION("GOOGLETRANSLATE(B3674, ""bn"", ""en"")"),"Christian missionaries are destroying religious harmony and undermining the traditions of the country in the name of conversion.")</f>
        <v>Christian missionaries are destroying religious harmony and undermining the traditions of the country in the name of conversion.</v>
      </c>
      <c r="D3674" s="5"/>
      <c r="E3674" s="5"/>
      <c r="F3674" s="5"/>
      <c r="G3674" s="5"/>
      <c r="H3674" s="5"/>
      <c r="I3674" s="5"/>
      <c r="J3674" s="5"/>
      <c r="K3674" s="5"/>
      <c r="L3674" s="5"/>
      <c r="M3674" s="5"/>
      <c r="N3674" s="5"/>
      <c r="O3674" s="5"/>
      <c r="P3674" s="5"/>
      <c r="Q3674" s="5"/>
      <c r="R3674" s="5"/>
      <c r="S3674" s="5"/>
      <c r="T3674" s="5"/>
      <c r="U3674" s="5"/>
      <c r="V3674" s="5"/>
      <c r="W3674" s="5"/>
      <c r="X3674" s="5"/>
      <c r="Y3674" s="5"/>
      <c r="Z3674" s="5"/>
    </row>
    <row r="3675" spans="1:26" ht="15.6" x14ac:dyDescent="0.3">
      <c r="A3675" s="18" t="s">
        <v>5</v>
      </c>
      <c r="B3675" s="24" t="s">
        <v>3662</v>
      </c>
      <c r="C3675" s="2" t="str">
        <f ca="1">IFERROR(__xludf.DUMMYFUNCTION("GOOGLETRANSLATE(B3675, ""bn"", ""en"")"),"A child orphaned by religious misogyny has to endure sexual abuse day after day, then commits suicide; Later 9 more committed suicide.")</f>
        <v>A child orphaned by religious misogyny has to endure sexual abuse day after day, then commits suicide; Later 9 more committed suicide.</v>
      </c>
      <c r="D3675" s="5"/>
      <c r="E3675" s="5"/>
      <c r="F3675" s="5"/>
      <c r="G3675" s="5"/>
      <c r="H3675" s="5"/>
      <c r="I3675" s="5"/>
      <c r="J3675" s="5"/>
      <c r="K3675" s="5"/>
      <c r="L3675" s="5"/>
      <c r="M3675" s="5"/>
      <c r="N3675" s="5"/>
      <c r="O3675" s="5"/>
      <c r="P3675" s="5"/>
      <c r="Q3675" s="5"/>
      <c r="R3675" s="5"/>
      <c r="S3675" s="5"/>
      <c r="T3675" s="5"/>
      <c r="U3675" s="5"/>
      <c r="V3675" s="5"/>
      <c r="W3675" s="5"/>
      <c r="X3675" s="5"/>
      <c r="Y3675" s="5"/>
      <c r="Z3675" s="5"/>
    </row>
    <row r="3676" spans="1:26" ht="15.6" x14ac:dyDescent="0.3">
      <c r="A3676" s="18" t="s">
        <v>3</v>
      </c>
      <c r="B3676" s="25" t="s">
        <v>3663</v>
      </c>
      <c r="C3676" s="2" t="str">
        <f ca="1">IFERROR(__xludf.DUMMYFUNCTION("GOOGLETRANSLATE(B3676, ""bn"", ""en"")"),"Most of the Buddhists in the Chittagong Hill Tracts belong to the Chakma, Marma, Khumi, Baom, Chak, Kuki, Murang, Tanchangia and Khiang tribes, who have been practicing Buddhism since ancient times.")</f>
        <v>Most of the Buddhists in the Chittagong Hill Tracts belong to the Chakma, Marma, Khumi, Baom, Chak, Kuki, Murang, Tanchangia and Khiang tribes, who have been practicing Buddhism since ancient times.</v>
      </c>
      <c r="D3676" s="2"/>
      <c r="E3676" s="2"/>
      <c r="F3676" s="2"/>
      <c r="G3676" s="2"/>
      <c r="H3676" s="5"/>
      <c r="I3676" s="5"/>
      <c r="J3676" s="5"/>
      <c r="K3676" s="5"/>
      <c r="L3676" s="5"/>
      <c r="M3676" s="5"/>
      <c r="N3676" s="5"/>
      <c r="O3676" s="5"/>
      <c r="P3676" s="5"/>
      <c r="Q3676" s="5"/>
      <c r="R3676" s="5"/>
      <c r="S3676" s="5"/>
      <c r="T3676" s="5"/>
      <c r="U3676" s="5"/>
      <c r="V3676" s="5"/>
      <c r="W3676" s="5"/>
      <c r="X3676" s="5"/>
      <c r="Y3676" s="5"/>
      <c r="Z3676" s="5"/>
    </row>
    <row r="3677" spans="1:26" ht="15.6" x14ac:dyDescent="0.3">
      <c r="A3677" s="19" t="s">
        <v>3</v>
      </c>
      <c r="B3677" s="26" t="s">
        <v>3664</v>
      </c>
      <c r="C3677" s="2" t="str">
        <f ca="1">IFERROR(__xludf.DUMMYFUNCTION("GOOGLETRANSLATE(B3677, ""bn"", ""en"")"),"We are only 'Bangladeshi', not of any religious identity and proud of such identity.")</f>
        <v>We are only 'Bangladeshi', not of any religious identity and proud of such identity.</v>
      </c>
      <c r="D3677" s="7"/>
      <c r="E3677" s="5"/>
      <c r="F3677" s="5"/>
      <c r="G3677" s="5"/>
      <c r="H3677" s="5"/>
      <c r="I3677" s="5"/>
      <c r="J3677" s="5"/>
      <c r="K3677" s="5"/>
      <c r="L3677" s="5"/>
      <c r="M3677" s="5"/>
      <c r="N3677" s="5"/>
      <c r="O3677" s="5"/>
      <c r="P3677" s="5"/>
      <c r="Q3677" s="5"/>
      <c r="R3677" s="5"/>
      <c r="S3677" s="5"/>
      <c r="T3677" s="5"/>
      <c r="U3677" s="5"/>
      <c r="V3677" s="5"/>
      <c r="W3677" s="5"/>
      <c r="X3677" s="5"/>
      <c r="Y3677" s="5"/>
      <c r="Z3677" s="5"/>
    </row>
    <row r="3678" spans="1:26" ht="15.6" x14ac:dyDescent="0.3">
      <c r="A3678" s="19" t="s">
        <v>5</v>
      </c>
      <c r="B3678" s="26" t="s">
        <v>3665</v>
      </c>
      <c r="C3678" s="2" t="str">
        <f ca="1">IFERROR(__xludf.DUMMYFUNCTION("GOOGLETRANSLATE(B3678, ""bn"", ""en"")"),"The Interim Government took this demand of Hindu Buddhist Christian Unity Parishad very seriously and collected the list of the said 23 murders. The list was sent by the Office of the Chief Counsel to the police asking for the actual cause of each inciden"&amp;"t and the legal action taken.")</f>
        <v>The Interim Government took this demand of Hindu Buddhist Christian Unity Parishad very seriously and collected the list of the said 23 murders. The list was sent by the Office of the Chief Counsel to the police asking for the actual cause of each incident and the legal action taken.</v>
      </c>
      <c r="D3678" s="7"/>
      <c r="E3678" s="7"/>
      <c r="F3678" s="7"/>
      <c r="G3678" s="7"/>
      <c r="H3678" s="5"/>
      <c r="I3678" s="5"/>
      <c r="J3678" s="5"/>
      <c r="K3678" s="5"/>
      <c r="L3678" s="5"/>
      <c r="M3678" s="5"/>
      <c r="N3678" s="5"/>
      <c r="O3678" s="5"/>
      <c r="P3678" s="5"/>
      <c r="Q3678" s="5"/>
      <c r="R3678" s="5"/>
      <c r="S3678" s="5"/>
      <c r="T3678" s="5"/>
      <c r="U3678" s="5"/>
      <c r="V3678" s="5"/>
      <c r="W3678" s="5"/>
      <c r="X3678" s="5"/>
      <c r="Y3678" s="5"/>
      <c r="Z3678" s="5"/>
    </row>
    <row r="3679" spans="1:26" ht="15.6" x14ac:dyDescent="0.3">
      <c r="A3679" s="18" t="s">
        <v>3</v>
      </c>
      <c r="B3679" s="25" t="s">
        <v>3666</v>
      </c>
      <c r="C3679" s="2" t="str">
        <f ca="1">IFERROR(__xludf.DUMMYFUNCTION("GOOGLETRANSLATE(B3679, ""bn"", ""en"")"),"The Qur'an is very precious to the lives of Muslim people, so all Muslim brothers protect the Qur'an even with their lives")</f>
        <v>The Qur'an is very precious to the lives of Muslim people, so all Muslim brothers protect the Qur'an even with their lives</v>
      </c>
      <c r="D3679" s="6"/>
      <c r="E3679" s="6"/>
      <c r="F3679" s="6"/>
      <c r="G3679" s="6"/>
      <c r="H3679" s="3"/>
      <c r="I3679" s="3"/>
      <c r="J3679" s="3"/>
      <c r="K3679" s="3"/>
      <c r="L3679" s="3"/>
      <c r="M3679" s="3"/>
      <c r="N3679" s="3"/>
      <c r="O3679" s="3"/>
      <c r="P3679" s="3"/>
      <c r="Q3679" s="3"/>
      <c r="R3679" s="3"/>
      <c r="S3679" s="3"/>
      <c r="T3679" s="3"/>
      <c r="U3679" s="3"/>
      <c r="V3679" s="3"/>
      <c r="W3679" s="3"/>
      <c r="X3679" s="3"/>
      <c r="Y3679" s="3"/>
      <c r="Z3679" s="3"/>
    </row>
    <row r="3680" spans="1:26" ht="15.6" x14ac:dyDescent="0.3">
      <c r="A3680" s="18" t="s">
        <v>8</v>
      </c>
      <c r="B3680" s="25" t="s">
        <v>3667</v>
      </c>
      <c r="C3680" s="2" t="str">
        <f ca="1">IFERROR(__xludf.DUMMYFUNCTION("GOOGLETRANSLATE(B3680, ""bn"", ""en"")"),"Hindus of Dandapanipur in Vishwanath Police Station also suffered horrific looting. Cows sacred to Hindus were slaughtered and force fed to them and all were forced to convert to Islam. Muslims looted Ghosh's house in Tukerkandi village.")</f>
        <v>Hindus of Dandapanipur in Vishwanath Police Station also suffered horrific looting. Cows sacred to Hindus were slaughtered and force fed to them and all were forced to convert to Islam. Muslims looted Ghosh's house in Tukerkandi village.</v>
      </c>
      <c r="D3680" s="7"/>
      <c r="E3680" s="7"/>
      <c r="F3680" s="7"/>
      <c r="G3680" s="7"/>
      <c r="H3680" s="7"/>
      <c r="I3680" s="7"/>
      <c r="J3680" s="7"/>
      <c r="K3680" s="7"/>
      <c r="L3680" s="7"/>
      <c r="M3680" s="7"/>
      <c r="N3680" s="7"/>
      <c r="O3680" s="7"/>
      <c r="P3680" s="5"/>
      <c r="Q3680" s="5"/>
      <c r="R3680" s="5"/>
      <c r="S3680" s="5"/>
      <c r="T3680" s="5"/>
      <c r="U3680" s="5"/>
      <c r="V3680" s="5"/>
      <c r="W3680" s="5"/>
      <c r="X3680" s="5"/>
      <c r="Y3680" s="5"/>
      <c r="Z3680" s="5"/>
    </row>
    <row r="3681" spans="1:26" ht="15.6" x14ac:dyDescent="0.3">
      <c r="A3681" s="18" t="s">
        <v>23</v>
      </c>
      <c r="B3681" s="24" t="s">
        <v>3668</v>
      </c>
      <c r="C3681" s="2" t="str">
        <f ca="1">IFERROR(__xludf.DUMMYFUNCTION("GOOGLETRANSLATE(B3681, ""bn"", ""en"")"),"Some youths in the Buddhist community make violent statements against other religions which undermines religious tolerance.")</f>
        <v>Some youths in the Buddhist community make violent statements against other religions which undermines religious tolerance.</v>
      </c>
      <c r="D3681" s="5"/>
      <c r="E3681" s="5"/>
      <c r="F3681" s="5"/>
      <c r="G3681" s="5"/>
      <c r="H3681" s="5"/>
      <c r="I3681" s="5"/>
      <c r="J3681" s="5"/>
      <c r="K3681" s="5"/>
      <c r="L3681" s="5"/>
      <c r="M3681" s="5"/>
      <c r="N3681" s="5"/>
      <c r="O3681" s="5"/>
      <c r="P3681" s="5"/>
      <c r="Q3681" s="5"/>
      <c r="R3681" s="5"/>
      <c r="S3681" s="5"/>
      <c r="T3681" s="5"/>
      <c r="U3681" s="5"/>
      <c r="V3681" s="5"/>
      <c r="W3681" s="5"/>
      <c r="X3681" s="5"/>
      <c r="Y3681" s="5"/>
      <c r="Z3681" s="5"/>
    </row>
    <row r="3682" spans="1:26" ht="15.6" x14ac:dyDescent="0.3">
      <c r="A3682" s="18" t="s">
        <v>23</v>
      </c>
      <c r="B3682" s="24" t="s">
        <v>488</v>
      </c>
      <c r="C3682" s="2" t="str">
        <f ca="1">IFERROR(__xludf.DUMMYFUNCTION("GOOGLETRANSLATE(B3682, ""bn"", ""en"")"),"Many in the Hindu community are destroying the religious peace with their hostile attitude towards other religions.")</f>
        <v>Many in the Hindu community are destroying the religious peace with their hostile attitude towards other religions.</v>
      </c>
      <c r="D3682" s="5"/>
      <c r="E3682" s="5"/>
      <c r="F3682" s="5"/>
      <c r="G3682" s="5"/>
      <c r="H3682" s="5"/>
      <c r="I3682" s="5"/>
      <c r="J3682" s="5"/>
      <c r="K3682" s="5"/>
      <c r="L3682" s="5"/>
      <c r="M3682" s="5"/>
      <c r="N3682" s="5"/>
      <c r="O3682" s="5"/>
      <c r="P3682" s="5"/>
      <c r="Q3682" s="5"/>
      <c r="R3682" s="5"/>
      <c r="S3682" s="5"/>
      <c r="T3682" s="5"/>
      <c r="U3682" s="5"/>
      <c r="V3682" s="5"/>
      <c r="W3682" s="5"/>
      <c r="X3682" s="5"/>
      <c r="Y3682" s="5"/>
      <c r="Z3682" s="5"/>
    </row>
    <row r="3683" spans="1:26" ht="15.6" x14ac:dyDescent="0.3">
      <c r="A3683" s="19" t="s">
        <v>8</v>
      </c>
      <c r="B3683" s="26" t="s">
        <v>3669</v>
      </c>
      <c r="C3683" s="2" t="str">
        <f ca="1">IFERROR(__xludf.DUMMYFUNCTION("GOOGLETRANSLATE(B3683, ""bn"", ""en"")"),"Every house in the two settlements was looted and set on fire and the holy temples built for the worship of the Hindu community were destroyed. [19] Tajuddin Ahmed visited different areas of Dhaka from 1 pm to 6 pm saw and was forced to accept the inhuman"&amp;" barbaric torture and destruction perpetrated by the Muslims on the Hindus.")</f>
        <v>Every house in the two settlements was looted and set on fire and the holy temples built for the worship of the Hindu community were destroyed. [19] Tajuddin Ahmed visited different areas of Dhaka from 1 pm to 6 pm saw and was forced to accept the inhuman barbaric torture and destruction perpetrated by the Muslims on the Hindus.</v>
      </c>
      <c r="D3683" s="7"/>
      <c r="E3683" s="7"/>
      <c r="F3683" s="7"/>
      <c r="G3683" s="7"/>
      <c r="H3683" s="7"/>
      <c r="I3683" s="7"/>
      <c r="J3683" s="7"/>
      <c r="K3683" s="7"/>
      <c r="L3683" s="7"/>
      <c r="M3683" s="7"/>
      <c r="N3683" s="7"/>
      <c r="O3683" s="5"/>
      <c r="P3683" s="5"/>
      <c r="Q3683" s="5"/>
      <c r="R3683" s="5"/>
      <c r="S3683" s="5"/>
      <c r="T3683" s="5"/>
      <c r="U3683" s="5"/>
      <c r="V3683" s="5"/>
      <c r="W3683" s="5"/>
      <c r="X3683" s="5"/>
      <c r="Y3683" s="5"/>
      <c r="Z3683" s="5"/>
    </row>
    <row r="3684" spans="1:26" ht="15.6" x14ac:dyDescent="0.3">
      <c r="A3684" s="19" t="s">
        <v>3</v>
      </c>
      <c r="B3684" s="26" t="s">
        <v>3670</v>
      </c>
      <c r="C3684" s="2" t="str">
        <f ca="1">IFERROR(__xludf.DUMMYFUNCTION("GOOGLETRANSLATE(B3684, ""bn"", ""en"")"),"Freedom of expression does not mean doing whatever you want. Religious freedom and belief is sensitive to many, so it is unreasonable and foolish to disregard it.")</f>
        <v>Freedom of expression does not mean doing whatever you want. Religious freedom and belief is sensitive to many, so it is unreasonable and foolish to disregard it.</v>
      </c>
      <c r="D3684" s="7"/>
      <c r="E3684" s="7"/>
      <c r="F3684" s="7"/>
      <c r="G3684" s="7"/>
      <c r="H3684" s="7"/>
      <c r="I3684" s="7"/>
      <c r="J3684" s="7"/>
      <c r="K3684" s="7"/>
      <c r="L3684" s="5"/>
      <c r="M3684" s="5"/>
      <c r="N3684" s="5"/>
      <c r="O3684" s="5"/>
      <c r="P3684" s="5"/>
      <c r="Q3684" s="5"/>
      <c r="R3684" s="5"/>
      <c r="S3684" s="5"/>
      <c r="T3684" s="5"/>
      <c r="U3684" s="5"/>
      <c r="V3684" s="5"/>
      <c r="W3684" s="5"/>
      <c r="X3684" s="5"/>
      <c r="Y3684" s="5"/>
      <c r="Z3684" s="5"/>
    </row>
    <row r="3685" spans="1:26" ht="15.6" x14ac:dyDescent="0.3">
      <c r="A3685" s="19" t="s">
        <v>3</v>
      </c>
      <c r="B3685" s="26" t="s">
        <v>3671</v>
      </c>
      <c r="C3685" s="2" t="str">
        <f ca="1">IFERROR(__xludf.DUMMYFUNCTION("GOOGLETRANSLATE(B3685, ""bn"", ""en"")"),"To every man his religion is most important; It is wrong to insult or insult another's religion. As their own religion is dear, so also the religion of others is sacred to them. Those who do not understand this have no religion.")</f>
        <v>To every man his religion is most important; It is wrong to insult or insult another's religion. As their own religion is dear, so also the religion of others is sacred to them. Those who do not understand this have no religion.</v>
      </c>
      <c r="D3685" s="7"/>
      <c r="E3685" s="7"/>
      <c r="F3685" s="7"/>
      <c r="G3685" s="7"/>
      <c r="H3685" s="7"/>
      <c r="I3685" s="7"/>
      <c r="J3685" s="7"/>
      <c r="K3685" s="7"/>
      <c r="L3685" s="7"/>
      <c r="M3685" s="7"/>
      <c r="N3685" s="7"/>
      <c r="O3685" s="7"/>
      <c r="P3685" s="7"/>
      <c r="Q3685" s="5"/>
      <c r="R3685" s="5"/>
      <c r="S3685" s="5"/>
      <c r="T3685" s="5"/>
      <c r="U3685" s="5"/>
      <c r="V3685" s="5"/>
      <c r="W3685" s="5"/>
      <c r="X3685" s="5"/>
      <c r="Y3685" s="5"/>
      <c r="Z3685" s="5"/>
    </row>
    <row r="3686" spans="1:26" ht="15.6" x14ac:dyDescent="0.3">
      <c r="A3686" s="18" t="s">
        <v>5</v>
      </c>
      <c r="B3686" s="25" t="s">
        <v>3672</v>
      </c>
      <c r="C3686" s="2" t="str">
        <f ca="1">IFERROR(__xludf.DUMMYFUNCTION("GOOGLETRANSLATE(B3686, ""bn"", ""en"")"),"Many people in Bangladesh lost their lives or were forced to commit suicide due to religious hatred, but such death and cruelty could have been avoided if all religions were respected.")</f>
        <v>Many people in Bangladesh lost their lives or were forced to commit suicide due to religious hatred, but such death and cruelty could have been avoided if all religions were respected.</v>
      </c>
      <c r="D3686" s="5"/>
      <c r="E3686" s="5"/>
      <c r="F3686" s="5"/>
      <c r="G3686" s="5"/>
      <c r="H3686" s="5"/>
      <c r="I3686" s="5"/>
      <c r="J3686" s="5"/>
      <c r="K3686" s="5"/>
      <c r="L3686" s="5"/>
      <c r="M3686" s="5"/>
      <c r="N3686" s="5"/>
      <c r="O3686" s="5"/>
      <c r="P3686" s="5"/>
      <c r="Q3686" s="5"/>
      <c r="R3686" s="5"/>
      <c r="S3686" s="5"/>
      <c r="T3686" s="5"/>
      <c r="U3686" s="5"/>
      <c r="V3686" s="5"/>
      <c r="W3686" s="5"/>
      <c r="X3686" s="5"/>
      <c r="Y3686" s="5"/>
      <c r="Z3686" s="5"/>
    </row>
    <row r="3687" spans="1:26" ht="15.6" x14ac:dyDescent="0.3">
      <c r="A3687" s="18" t="s">
        <v>3</v>
      </c>
      <c r="B3687" s="25" t="s">
        <v>3673</v>
      </c>
      <c r="C3687" s="2" t="str">
        <f ca="1">IFERROR(__xludf.DUMMYFUNCTION("GOOGLETRANSLATE(B3687, ""bn"", ""en"")"),"By obeying Allah's guidance, we stay on the right path in life and get strength to face all the challenges of life.")</f>
        <v>By obeying Allah's guidance, we stay on the right path in life and get strength to face all the challenges of life.</v>
      </c>
      <c r="D3687" s="5"/>
      <c r="E3687" s="5"/>
      <c r="F3687" s="5"/>
      <c r="G3687" s="5"/>
      <c r="H3687" s="5"/>
      <c r="I3687" s="5"/>
      <c r="J3687" s="5"/>
      <c r="K3687" s="5"/>
      <c r="L3687" s="5"/>
      <c r="M3687" s="5"/>
      <c r="N3687" s="5"/>
      <c r="O3687" s="5"/>
      <c r="P3687" s="5"/>
      <c r="Q3687" s="5"/>
      <c r="R3687" s="5"/>
      <c r="S3687" s="5"/>
      <c r="T3687" s="5"/>
      <c r="U3687" s="5"/>
      <c r="V3687" s="5"/>
      <c r="W3687" s="5"/>
      <c r="X3687" s="5"/>
      <c r="Y3687" s="5"/>
      <c r="Z3687" s="5"/>
    </row>
    <row r="3688" spans="1:26" ht="15.6" x14ac:dyDescent="0.3">
      <c r="A3688" s="18" t="s">
        <v>23</v>
      </c>
      <c r="B3688" s="25" t="s">
        <v>3674</v>
      </c>
      <c r="C3688" s="2" t="str">
        <f ca="1">IFERROR(__xludf.DUMMYFUNCTION("GOOGLETRANSLATE(B3688, ""bn"", ""en"")"),"It has been requested to take necessary measures to increase the punishment for blasphemy against the Prophet, may Allah bless him and grant him peace, including hurting the religious sentiments of anyone, by amending the existing law within a reasonable "&amp;"time of receiving the notice. Otherwise legal action will be taken against those concerned.")</f>
        <v>It has been requested to take necessary measures to increase the punishment for blasphemy against the Prophet, may Allah bless him and grant him peace, including hurting the religious sentiments of anyone, by amending the existing law within a reasonable time of receiving the notice. Otherwise legal action will be taken against those concerned.</v>
      </c>
      <c r="D3688" s="5"/>
      <c r="E3688" s="5"/>
      <c r="F3688" s="5"/>
      <c r="G3688" s="5"/>
      <c r="H3688" s="5"/>
      <c r="I3688" s="5"/>
      <c r="J3688" s="5"/>
      <c r="K3688" s="5"/>
      <c r="L3688" s="5"/>
      <c r="M3688" s="5"/>
      <c r="N3688" s="5"/>
      <c r="O3688" s="5"/>
      <c r="P3688" s="5"/>
      <c r="Q3688" s="5"/>
      <c r="R3688" s="5"/>
      <c r="S3688" s="5"/>
      <c r="T3688" s="5"/>
      <c r="U3688" s="5"/>
      <c r="V3688" s="5"/>
      <c r="W3688" s="5"/>
      <c r="X3688" s="5"/>
      <c r="Y3688" s="5"/>
      <c r="Z3688" s="5"/>
    </row>
    <row r="3689" spans="1:26" ht="15.6" x14ac:dyDescent="0.3">
      <c r="A3689" s="18" t="s">
        <v>3</v>
      </c>
      <c r="B3689" s="25" t="s">
        <v>3675</v>
      </c>
      <c r="C3689" s="2" t="str">
        <f ca="1">IFERROR(__xludf.DUMMYFUNCTION("GOOGLETRANSLATE(B3689, ""bn"", ""en"")"),"The most difficult thing is that all the comments that speak badly about Islam are made by Muslims. Their religion has no value to themselves.")</f>
        <v>The most difficult thing is that all the comments that speak badly about Islam are made by Muslims. Their religion has no value to themselves.</v>
      </c>
      <c r="D3689" s="7"/>
      <c r="E3689" s="7"/>
      <c r="F3689" s="7"/>
      <c r="G3689" s="7"/>
      <c r="H3689" s="7"/>
      <c r="I3689" s="5"/>
      <c r="J3689" s="5"/>
      <c r="K3689" s="5"/>
      <c r="L3689" s="5"/>
      <c r="M3689" s="5"/>
      <c r="N3689" s="5"/>
      <c r="O3689" s="5"/>
      <c r="P3689" s="5"/>
      <c r="Q3689" s="5"/>
      <c r="R3689" s="5"/>
      <c r="S3689" s="5"/>
      <c r="T3689" s="5"/>
      <c r="U3689" s="5"/>
      <c r="V3689" s="5"/>
      <c r="W3689" s="5"/>
      <c r="X3689" s="5"/>
      <c r="Y3689" s="5"/>
      <c r="Z3689" s="5"/>
    </row>
    <row r="3690" spans="1:26" ht="15.6" x14ac:dyDescent="0.3">
      <c r="A3690" s="19" t="s">
        <v>3</v>
      </c>
      <c r="B3690" s="26" t="s">
        <v>3676</v>
      </c>
      <c r="C3690" s="2" t="str">
        <f ca="1">IFERROR(__xludf.DUMMYFUNCTION("GOOGLETRANSLATE(B3690, ""bn"", ""en"")"),"Allah says that those who suffer death in an epidemic, if their wounds are like those of martyrs, they will be martyred.")</f>
        <v>Allah says that those who suffer death in an epidemic, if their wounds are like those of martyrs, they will be martyred.</v>
      </c>
      <c r="D3690" s="7"/>
      <c r="E3690" s="7"/>
      <c r="F3690" s="7"/>
      <c r="G3690" s="5"/>
      <c r="H3690" s="5"/>
      <c r="I3690" s="5"/>
      <c r="J3690" s="5"/>
      <c r="K3690" s="5"/>
      <c r="L3690" s="5"/>
      <c r="M3690" s="5"/>
      <c r="N3690" s="5"/>
      <c r="O3690" s="5"/>
      <c r="P3690" s="5"/>
      <c r="Q3690" s="5"/>
      <c r="R3690" s="5"/>
      <c r="S3690" s="5"/>
      <c r="T3690" s="5"/>
      <c r="U3690" s="5"/>
      <c r="V3690" s="5"/>
      <c r="W3690" s="5"/>
      <c r="X3690" s="5"/>
      <c r="Y3690" s="5"/>
      <c r="Z3690" s="5"/>
    </row>
    <row r="3691" spans="1:26" ht="15.6" x14ac:dyDescent="0.3">
      <c r="A3691" s="18" t="s">
        <v>5</v>
      </c>
      <c r="B3691" s="24" t="s">
        <v>3677</v>
      </c>
      <c r="C3691" s="2" t="str">
        <f ca="1">IFERROR(__xludf.DUMMYFUNCTION("GOOGLETRANSLATE(B3691, ""bn"", ""en"")"),"In August 2024, the Chakraborty family was attacked in Bagerhat for land grabbing, the head of the family was killed.")</f>
        <v>In August 2024, the Chakraborty family was attacked in Bagerhat for land grabbing, the head of the family was killed.</v>
      </c>
      <c r="D3691" s="5"/>
      <c r="E3691" s="5"/>
      <c r="F3691" s="5"/>
      <c r="G3691" s="5"/>
      <c r="H3691" s="5"/>
      <c r="I3691" s="5"/>
      <c r="J3691" s="5"/>
      <c r="K3691" s="5"/>
      <c r="L3691" s="5"/>
      <c r="M3691" s="5"/>
      <c r="N3691" s="5"/>
      <c r="O3691" s="5"/>
      <c r="P3691" s="5"/>
      <c r="Q3691" s="5"/>
      <c r="R3691" s="5"/>
      <c r="S3691" s="5"/>
      <c r="T3691" s="5"/>
      <c r="U3691" s="5"/>
      <c r="V3691" s="5"/>
      <c r="W3691" s="5"/>
      <c r="X3691" s="5"/>
      <c r="Y3691" s="5"/>
      <c r="Z3691" s="5"/>
    </row>
    <row r="3692" spans="1:26" ht="15.6" x14ac:dyDescent="0.3">
      <c r="A3692" s="18" t="s">
        <v>23</v>
      </c>
      <c r="B3692" s="25" t="s">
        <v>3678</v>
      </c>
      <c r="C3692" s="2" t="str">
        <f ca="1">IFERROR(__xludf.DUMMYFUNCTION("GOOGLETRANSLATE(B3692, ""bn"", ""en"")"),"Teaching people the new definition of Halal and Haram by insulting Hadith. We must raise our voice against the spread of atheism by denying the hadith clearly.")</f>
        <v>Teaching people the new definition of Halal and Haram by insulting Hadith. We must raise our voice against the spread of atheism by denying the hadith clearly.</v>
      </c>
      <c r="D3692" s="2"/>
      <c r="E3692" s="2"/>
      <c r="F3692" s="2"/>
      <c r="G3692" s="2"/>
      <c r="H3692" s="5"/>
      <c r="I3692" s="5"/>
      <c r="J3692" s="5"/>
      <c r="K3692" s="5"/>
      <c r="L3692" s="5"/>
      <c r="M3692" s="5"/>
      <c r="N3692" s="5"/>
      <c r="O3692" s="5"/>
      <c r="P3692" s="5"/>
      <c r="Q3692" s="5"/>
      <c r="R3692" s="5"/>
      <c r="S3692" s="5"/>
      <c r="T3692" s="5"/>
      <c r="U3692" s="5"/>
      <c r="V3692" s="5"/>
      <c r="W3692" s="5"/>
      <c r="X3692" s="5"/>
      <c r="Y3692" s="5"/>
      <c r="Z3692" s="5"/>
    </row>
    <row r="3693" spans="1:26" ht="15.6" x14ac:dyDescent="0.3">
      <c r="A3693" s="18" t="s">
        <v>5</v>
      </c>
      <c r="B3693" s="25" t="s">
        <v>3679</v>
      </c>
      <c r="C3693" s="2" t="str">
        <f ca="1">IFERROR(__xludf.DUMMYFUNCTION("GOOGLETRANSLATE(B3693, ""bn"", ""en"")"),"According to the report, there have been 45 incidents of Islam-related killings in the last one year. 7 bodies have been recovered (appearing to be murders). Attempts have been made to kill 10 people. 36 people have been threatened with death.")</f>
        <v>According to the report, there have been 45 incidents of Islam-related killings in the last one year. 7 bodies have been recovered (appearing to be murders). Attempts have been made to kill 10 people. 36 people have been threatened with death.</v>
      </c>
      <c r="D3693" s="5"/>
      <c r="E3693" s="5"/>
      <c r="F3693" s="5"/>
      <c r="G3693" s="5"/>
      <c r="H3693" s="5"/>
      <c r="I3693" s="5"/>
      <c r="J3693" s="5"/>
      <c r="K3693" s="5"/>
      <c r="L3693" s="5"/>
      <c r="M3693" s="5"/>
      <c r="N3693" s="5"/>
      <c r="O3693" s="5"/>
      <c r="P3693" s="5"/>
      <c r="Q3693" s="5"/>
      <c r="R3693" s="5"/>
      <c r="S3693" s="5"/>
      <c r="T3693" s="5"/>
      <c r="U3693" s="5"/>
      <c r="V3693" s="5"/>
      <c r="W3693" s="5"/>
      <c r="X3693" s="5"/>
      <c r="Y3693" s="5"/>
      <c r="Z3693" s="5"/>
    </row>
    <row r="3694" spans="1:26" ht="15.6" x14ac:dyDescent="0.3">
      <c r="A3694" s="18" t="s">
        <v>5</v>
      </c>
      <c r="B3694" s="25" t="s">
        <v>3680</v>
      </c>
      <c r="C3694" s="2" t="str">
        <f ca="1">IFERROR(__xludf.DUMMYFUNCTION("GOOGLETRANSLATE(B3694, ""bn"", ""en"")"),"Historians are reluctant to compare the Noakhali massacre with Hindu-Muslim riots elsewhere for three reasons. Firstly, the power of the two sides was not equal here, mainly the Hindu population was the victim of the attack.")</f>
        <v>Historians are reluctant to compare the Noakhali massacre with Hindu-Muslim riots elsewhere for three reasons. Firstly, the power of the two sides was not equal here, mainly the Hindu population was the victim of the attack.</v>
      </c>
      <c r="D3694" s="6"/>
      <c r="E3694" s="6"/>
      <c r="F3694" s="6"/>
      <c r="G3694" s="2"/>
      <c r="H3694" s="3"/>
      <c r="I3694" s="3"/>
      <c r="J3694" s="3"/>
      <c r="K3694" s="3"/>
      <c r="L3694" s="3"/>
      <c r="M3694" s="3"/>
      <c r="N3694" s="3"/>
      <c r="O3694" s="3"/>
      <c r="P3694" s="3"/>
      <c r="Q3694" s="3"/>
      <c r="R3694" s="3"/>
      <c r="S3694" s="3"/>
      <c r="T3694" s="3"/>
      <c r="U3694" s="3"/>
      <c r="V3694" s="3"/>
      <c r="W3694" s="3"/>
      <c r="X3694" s="3"/>
      <c r="Y3694" s="3"/>
      <c r="Z3694" s="3"/>
    </row>
    <row r="3695" spans="1:26" ht="15.6" x14ac:dyDescent="0.3">
      <c r="A3695" s="18" t="s">
        <v>23</v>
      </c>
      <c r="B3695" s="25" t="s">
        <v>3681</v>
      </c>
      <c r="C3695" s="2" t="str">
        <f ca="1">IFERROR(__xludf.DUMMYFUNCTION("GOOGLETRANSLATE(B3695, ""bn"", ""en"")"),"In Ramu, the southeastern district of Bangladesh, it was suddenly heard from a computer shop there that a young Buddhist named Uttam Barua was writing about the religion of Islam, the scriptures of Islam, from the Facebook account. The Qur'an or the Proph"&amp;"et has been insulted.")</f>
        <v>In Ramu, the southeastern district of Bangladesh, it was suddenly heard from a computer shop there that a young Buddhist named Uttam Barua was writing about the religion of Islam, the scriptures of Islam, from the Facebook account. The Qur'an or the Prophet has been insulted.</v>
      </c>
      <c r="D3695" s="5"/>
      <c r="E3695" s="5"/>
      <c r="F3695" s="5"/>
      <c r="G3695" s="5"/>
      <c r="H3695" s="5"/>
      <c r="I3695" s="5"/>
      <c r="J3695" s="5"/>
      <c r="K3695" s="5"/>
      <c r="L3695" s="5"/>
      <c r="M3695" s="5"/>
      <c r="N3695" s="5"/>
      <c r="O3695" s="5"/>
      <c r="P3695" s="5"/>
      <c r="Q3695" s="5"/>
      <c r="R3695" s="5"/>
      <c r="S3695" s="5"/>
      <c r="T3695" s="5"/>
      <c r="U3695" s="5"/>
      <c r="V3695" s="5"/>
      <c r="W3695" s="5"/>
      <c r="X3695" s="5"/>
      <c r="Y3695" s="5"/>
      <c r="Z3695" s="5"/>
    </row>
    <row r="3696" spans="1:26" ht="15.6" x14ac:dyDescent="0.3">
      <c r="A3696" s="19" t="s">
        <v>5</v>
      </c>
      <c r="B3696" s="26" t="s">
        <v>3682</v>
      </c>
      <c r="C3696" s="2" t="str">
        <f ca="1">IFERROR(__xludf.DUMMYFUNCTION("GOOGLETRANSLATE(B3696, ""bn"", ""en"")"),"According to an expert, some Hindu media published exaggerated and chaotic news. But neutral estimates put the death toll closer to 5,000.")</f>
        <v>According to an expert, some Hindu media published exaggerated and chaotic news. But neutral estimates put the death toll closer to 5,000.</v>
      </c>
      <c r="D3696" s="7"/>
      <c r="E3696" s="7"/>
      <c r="F3696" s="7"/>
      <c r="G3696" s="7"/>
      <c r="H3696" s="7"/>
      <c r="I3696" s="7"/>
      <c r="J3696" s="7"/>
      <c r="K3696" s="7"/>
      <c r="L3696" s="7"/>
      <c r="M3696" s="5"/>
      <c r="N3696" s="5"/>
      <c r="O3696" s="5"/>
      <c r="P3696" s="5"/>
      <c r="Q3696" s="5"/>
      <c r="R3696" s="5"/>
      <c r="S3696" s="5"/>
      <c r="T3696" s="5"/>
      <c r="U3696" s="5"/>
      <c r="V3696" s="5"/>
      <c r="W3696" s="5"/>
      <c r="X3696" s="5"/>
      <c r="Y3696" s="5"/>
      <c r="Z3696" s="5"/>
    </row>
    <row r="3697" spans="1:26" ht="15.6" x14ac:dyDescent="0.3">
      <c r="A3697" s="18" t="s">
        <v>23</v>
      </c>
      <c r="B3697" s="24" t="s">
        <v>3683</v>
      </c>
      <c r="C3697" s="2" t="str">
        <f ca="1">IFERROR(__xludf.DUMMYFUNCTION("GOOGLETRANSLATE(B3697, ""bn"", ""en"")"),"Many in the Hindu community have a hostile attitude towards other religions which has led to the destruction of peace in the country.")</f>
        <v>Many in the Hindu community have a hostile attitude towards other religions which has led to the destruction of peace in the country.</v>
      </c>
      <c r="D3697" s="5"/>
      <c r="E3697" s="5"/>
      <c r="F3697" s="5"/>
      <c r="G3697" s="5"/>
      <c r="H3697" s="5"/>
      <c r="I3697" s="5"/>
      <c r="J3697" s="5"/>
      <c r="K3697" s="5"/>
      <c r="L3697" s="5"/>
      <c r="M3697" s="5"/>
      <c r="N3697" s="5"/>
      <c r="O3697" s="5"/>
      <c r="P3697" s="5"/>
      <c r="Q3697" s="5"/>
      <c r="R3697" s="5"/>
      <c r="S3697" s="5"/>
      <c r="T3697" s="5"/>
      <c r="U3697" s="5"/>
      <c r="V3697" s="5"/>
      <c r="W3697" s="5"/>
      <c r="X3697" s="5"/>
      <c r="Y3697" s="5"/>
      <c r="Z3697" s="5"/>
    </row>
    <row r="3698" spans="1:26" ht="15.6" x14ac:dyDescent="0.3">
      <c r="A3698" s="18" t="s">
        <v>3</v>
      </c>
      <c r="B3698" s="25" t="s">
        <v>3684</v>
      </c>
      <c r="C3698" s="2" t="str">
        <f ca="1">IFERROR(__xludf.DUMMYFUNCTION("GOOGLETRANSLATE(B3698, ""bn"", ""en"")"),"Allahu Akbar No matter how many research videos, theories and personal thoughts about God's creation, the great being bows his head to Allah Ta'ala without knowing it. Millions of prostrations and shukurs to the great Lord.")</f>
        <v>Allahu Akbar No matter how many research videos, theories and personal thoughts about God's creation, the great being bows his head to Allah Ta'ala without knowing it. Millions of prostrations and shukurs to the great Lord.</v>
      </c>
      <c r="D3698" s="5"/>
      <c r="E3698" s="5"/>
      <c r="F3698" s="5"/>
      <c r="G3698" s="5"/>
      <c r="H3698" s="5"/>
      <c r="I3698" s="5"/>
      <c r="J3698" s="5"/>
      <c r="K3698" s="5"/>
      <c r="L3698" s="5"/>
      <c r="M3698" s="5"/>
      <c r="N3698" s="5"/>
      <c r="O3698" s="5"/>
      <c r="P3698" s="5"/>
      <c r="Q3698" s="5"/>
      <c r="R3698" s="5"/>
      <c r="S3698" s="5"/>
      <c r="T3698" s="5"/>
      <c r="U3698" s="5"/>
      <c r="V3698" s="5"/>
      <c r="W3698" s="5"/>
      <c r="X3698" s="5"/>
      <c r="Y3698" s="5"/>
      <c r="Z3698" s="5"/>
    </row>
    <row r="3699" spans="1:26" ht="15.6" x14ac:dyDescent="0.3">
      <c r="A3699" s="18" t="s">
        <v>3</v>
      </c>
      <c r="B3699" s="25" t="s">
        <v>3685</v>
      </c>
      <c r="C3699" s="2" t="str">
        <f ca="1">IFERROR(__xludf.DUMMYFUNCTION("GOOGLETRANSLATE(B3699, ""bn"", ""en"")"),"Religion will survive as long as there is no exaggeration")</f>
        <v>Religion will survive as long as there is no exaggeration</v>
      </c>
      <c r="D3699" s="5"/>
      <c r="E3699" s="5"/>
      <c r="F3699" s="5"/>
      <c r="G3699" s="5"/>
      <c r="H3699" s="5"/>
      <c r="I3699" s="5"/>
      <c r="J3699" s="5"/>
      <c r="K3699" s="5"/>
      <c r="L3699" s="5"/>
      <c r="M3699" s="5"/>
      <c r="N3699" s="5"/>
      <c r="O3699" s="5"/>
      <c r="P3699" s="5"/>
      <c r="Q3699" s="5"/>
      <c r="R3699" s="5"/>
      <c r="S3699" s="5"/>
      <c r="T3699" s="5"/>
      <c r="U3699" s="5"/>
      <c r="V3699" s="5"/>
      <c r="W3699" s="5"/>
      <c r="X3699" s="5"/>
      <c r="Y3699" s="5"/>
      <c r="Z3699" s="5"/>
    </row>
    <row r="3700" spans="1:26" ht="15.6" x14ac:dyDescent="0.3">
      <c r="A3700" s="18" t="s">
        <v>23</v>
      </c>
      <c r="B3700" s="25" t="s">
        <v>3686</v>
      </c>
      <c r="C3700" s="2" t="str">
        <f ca="1">IFERROR(__xludf.DUMMYFUNCTION("GOOGLETRANSLATE(B3700, ""bn"", ""en"")"),"There is no conflict between science education and religious education in the education system of Bangladesh, never was, and will not be in the future. So I don't see any situation as the reason for the conflict.")</f>
        <v>There is no conflict between science education and religious education in the education system of Bangladesh, never was, and will not be in the future. So I don't see any situation as the reason for the conflict.</v>
      </c>
      <c r="D3700" s="2"/>
      <c r="E3700" s="2"/>
      <c r="F3700" s="2"/>
      <c r="G3700" s="2"/>
      <c r="H3700" s="3"/>
      <c r="I3700" s="3"/>
      <c r="J3700" s="3"/>
      <c r="K3700" s="3"/>
      <c r="L3700" s="3"/>
      <c r="M3700" s="3"/>
      <c r="N3700" s="3"/>
      <c r="O3700" s="3"/>
      <c r="P3700" s="3"/>
      <c r="Q3700" s="3"/>
      <c r="R3700" s="3"/>
      <c r="S3700" s="3"/>
      <c r="T3700" s="3"/>
      <c r="U3700" s="3"/>
      <c r="V3700" s="3"/>
      <c r="W3700" s="3"/>
      <c r="X3700" s="3"/>
      <c r="Y3700" s="3"/>
      <c r="Z3700" s="3"/>
    </row>
    <row r="3701" spans="1:26" ht="15.6" x14ac:dyDescent="0.3">
      <c r="A3701" s="18" t="s">
        <v>23</v>
      </c>
      <c r="B3701" s="25" t="s">
        <v>309</v>
      </c>
      <c r="C3701" s="2" t="str">
        <f ca="1">IFERROR(__xludf.DUMMYFUNCTION("GOOGLETRANSLATE(B3701, ""bn"", ""en"")"),"Today I was surprised to see the Holy Quran placed on the thigh of Hanuman idol in a puja mandap on the bank of Dighi in Nanua. Be it Hindu or Muslim, no real religious should have a hand in such work.")</f>
        <v>Today I was surprised to see the Holy Quran placed on the thigh of Hanuman idol in a puja mandap on the bank of Dighi in Nanua. Be it Hindu or Muslim, no real religious should have a hand in such work.</v>
      </c>
      <c r="D3701" s="5"/>
      <c r="E3701" s="5"/>
      <c r="F3701" s="5"/>
      <c r="G3701" s="5"/>
      <c r="H3701" s="5"/>
      <c r="I3701" s="5"/>
      <c r="J3701" s="5"/>
      <c r="K3701" s="5"/>
      <c r="L3701" s="5"/>
      <c r="M3701" s="5"/>
      <c r="N3701" s="5"/>
      <c r="O3701" s="5"/>
      <c r="P3701" s="5"/>
      <c r="Q3701" s="5"/>
      <c r="R3701" s="5"/>
      <c r="S3701" s="5"/>
      <c r="T3701" s="5"/>
      <c r="U3701" s="5"/>
      <c r="V3701" s="5"/>
      <c r="W3701" s="5"/>
      <c r="X3701" s="5"/>
      <c r="Y3701" s="5"/>
      <c r="Z3701" s="5"/>
    </row>
    <row r="3702" spans="1:26" ht="15.6" x14ac:dyDescent="0.3">
      <c r="A3702" s="18" t="s">
        <v>8</v>
      </c>
      <c r="B3702" s="25" t="s">
        <v>3687</v>
      </c>
      <c r="C3702" s="2" t="str">
        <f ca="1">IFERROR(__xludf.DUMMYFUNCTION("GOOGLETRANSLATE(B3702, ""bn"", ""en"")"),"Several extremist Muslims announced an attack on the microphone, in which 88 houses and 7/8 family temples were vandalized and furniture destroyed. [2] The attack and vandalism was led by Nachni village member and Ward Jubo League President Shahidul Islam"&amp;" Swadhin of Ward No. 9 of Sarmangal Union of Dirai Upazila and his assistant Pakkan Mia. [3] So far 38 people have been arrested in this incident and the investigation is ongoing. [3] However, some have implicated Hefazet Islam Bangladesh in the attack.")</f>
        <v>Several extremist Muslims announced an attack on the microphone, in which 88 houses and 7/8 family temples were vandalized and furniture destroyed. [2] The attack and vandalism was led by Nachni village member and Ward Jubo League President Shahidul Islam Swadhin of Ward No. 9 of Sarmangal Union of Dirai Upazila and his assistant Pakkan Mia. [3] So far 38 people have been arrested in this incident and the investigation is ongoing. [3] However, some have implicated Hefazet Islam Bangladesh in the attack.</v>
      </c>
      <c r="D3702" s="2"/>
      <c r="E3702" s="2"/>
      <c r="F3702" s="2"/>
      <c r="G3702" s="2"/>
      <c r="H3702" s="3"/>
      <c r="I3702" s="3"/>
      <c r="J3702" s="3"/>
      <c r="K3702" s="3"/>
      <c r="L3702" s="3"/>
      <c r="M3702" s="3"/>
      <c r="N3702" s="3"/>
      <c r="O3702" s="3"/>
      <c r="P3702" s="3"/>
      <c r="Q3702" s="3"/>
      <c r="R3702" s="3"/>
      <c r="S3702" s="3"/>
      <c r="T3702" s="3"/>
      <c r="U3702" s="3"/>
      <c r="V3702" s="3"/>
      <c r="W3702" s="3"/>
      <c r="X3702" s="3"/>
      <c r="Y3702" s="3"/>
      <c r="Z3702" s="3"/>
    </row>
    <row r="3703" spans="1:26" ht="15.6" x14ac:dyDescent="0.3">
      <c r="A3703" s="19" t="s">
        <v>3</v>
      </c>
      <c r="B3703" s="26" t="s">
        <v>3688</v>
      </c>
      <c r="C3703" s="2" t="str">
        <f ca="1">IFERROR(__xludf.DUMMYFUNCTION("GOOGLETRANSLATE(B3703, ""bn"", ""en"")"),"With respect to people of different faiths, we all sympathize when there is an unwelcome attack on worship.")</f>
        <v>With respect to people of different faiths, we all sympathize when there is an unwelcome attack on worship.</v>
      </c>
      <c r="D3703" s="7"/>
      <c r="E3703" s="7"/>
      <c r="F3703" s="7"/>
      <c r="G3703" s="7"/>
      <c r="H3703" s="5"/>
      <c r="I3703" s="5"/>
      <c r="J3703" s="5"/>
      <c r="K3703" s="5"/>
      <c r="L3703" s="5"/>
      <c r="M3703" s="5"/>
      <c r="N3703" s="5"/>
      <c r="O3703" s="5"/>
      <c r="P3703" s="5"/>
      <c r="Q3703" s="5"/>
      <c r="R3703" s="5"/>
      <c r="S3703" s="5"/>
      <c r="T3703" s="5"/>
      <c r="U3703" s="5"/>
      <c r="V3703" s="5"/>
      <c r="W3703" s="5"/>
      <c r="X3703" s="5"/>
      <c r="Y3703" s="5"/>
      <c r="Z3703" s="5"/>
    </row>
    <row r="3704" spans="1:26" ht="15.6" x14ac:dyDescent="0.3">
      <c r="A3704" s="19" t="s">
        <v>3</v>
      </c>
      <c r="B3704" s="26" t="s">
        <v>3689</v>
      </c>
      <c r="C3704" s="2" t="str">
        <f ca="1">IFERROR(__xludf.DUMMYFUNCTION("GOOGLETRANSLATE(B3704, ""bn"", ""en"")"),"The destination of the suicide is hell; So no one has the right to end the life given by God, no matter what the pain.")</f>
        <v>The destination of the suicide is hell; So no one has the right to end the life given by God, no matter what the pain.</v>
      </c>
      <c r="D3704" s="7"/>
      <c r="E3704" s="7"/>
      <c r="F3704" s="7"/>
      <c r="G3704" s="7"/>
      <c r="H3704" s="5"/>
      <c r="I3704" s="5"/>
      <c r="J3704" s="5"/>
      <c r="K3704" s="5"/>
      <c r="L3704" s="5"/>
      <c r="M3704" s="5"/>
      <c r="N3704" s="5"/>
      <c r="O3704" s="5"/>
      <c r="P3704" s="5"/>
      <c r="Q3704" s="5"/>
      <c r="R3704" s="5"/>
      <c r="S3704" s="5"/>
      <c r="T3704" s="5"/>
      <c r="U3704" s="5"/>
      <c r="V3704" s="5"/>
      <c r="W3704" s="5"/>
      <c r="X3704" s="5"/>
      <c r="Y3704" s="5"/>
      <c r="Z3704" s="5"/>
    </row>
    <row r="3705" spans="1:26" ht="15.6" x14ac:dyDescent="0.3">
      <c r="A3705" s="19" t="s">
        <v>23</v>
      </c>
      <c r="B3705" s="26" t="s">
        <v>3690</v>
      </c>
      <c r="C3705" s="2" t="str">
        <f ca="1">IFERROR(__xludf.DUMMYFUNCTION("GOOGLETRANSLATE(B3705, ""bn"", ""en"")"),"Ahsanullah University has scheduled semester finals on Ashtami, which has created a dilemma for orthodox students between celebrating religious festivals and exams.")</f>
        <v>Ahsanullah University has scheduled semester finals on Ashtami, which has created a dilemma for orthodox students between celebrating religious festivals and exams.</v>
      </c>
      <c r="D3705" s="7"/>
      <c r="E3705" s="7"/>
      <c r="F3705" s="7"/>
      <c r="G3705" s="7"/>
      <c r="H3705" s="7"/>
      <c r="I3705" s="7"/>
      <c r="J3705" s="7"/>
      <c r="K3705" s="7"/>
      <c r="L3705" s="7"/>
      <c r="M3705" s="5"/>
      <c r="N3705" s="5"/>
      <c r="O3705" s="5"/>
      <c r="P3705" s="5"/>
      <c r="Q3705" s="5"/>
      <c r="R3705" s="5"/>
      <c r="S3705" s="5"/>
      <c r="T3705" s="5"/>
      <c r="U3705" s="5"/>
      <c r="V3705" s="5"/>
      <c r="W3705" s="5"/>
      <c r="X3705" s="5"/>
      <c r="Y3705" s="5"/>
      <c r="Z3705" s="5"/>
    </row>
    <row r="3706" spans="1:26" ht="15.6" x14ac:dyDescent="0.3">
      <c r="A3706" s="18" t="s">
        <v>8</v>
      </c>
      <c r="B3706" s="25" t="s">
        <v>3691</v>
      </c>
      <c r="C3706" s="2" t="str">
        <f ca="1">IFERROR(__xludf.DUMMYFUNCTION("GOOGLETRANSLATE(B3706, ""bn"", ""en"")"),"The houses of Digendra Sen, Gopesh Sen and Shiv Charan Das of Rukanpur village under Balaganj police station were ransacked and their family members were brutally beaten.")</f>
        <v>The houses of Digendra Sen, Gopesh Sen and Shiv Charan Das of Rukanpur village under Balaganj police station were ransacked and their family members were brutally beaten.</v>
      </c>
      <c r="D3706" s="5"/>
      <c r="E3706" s="5"/>
      <c r="F3706" s="5"/>
      <c r="G3706" s="5"/>
      <c r="H3706" s="5"/>
      <c r="I3706" s="5"/>
      <c r="J3706" s="5"/>
      <c r="K3706" s="5"/>
      <c r="L3706" s="5"/>
      <c r="M3706" s="5"/>
      <c r="N3706" s="5"/>
      <c r="O3706" s="5"/>
      <c r="P3706" s="5"/>
      <c r="Q3706" s="5"/>
      <c r="R3706" s="5"/>
      <c r="S3706" s="5"/>
      <c r="T3706" s="5"/>
      <c r="U3706" s="5"/>
      <c r="V3706" s="5"/>
      <c r="W3706" s="5"/>
      <c r="X3706" s="5"/>
      <c r="Y3706" s="5"/>
      <c r="Z3706" s="5"/>
    </row>
    <row r="3707" spans="1:26" ht="15.6" x14ac:dyDescent="0.3">
      <c r="A3707" s="18" t="s">
        <v>5</v>
      </c>
      <c r="B3707" s="25" t="s">
        <v>3692</v>
      </c>
      <c r="C3707" s="2" t="str">
        <f ca="1">IFERROR(__xludf.DUMMYFUNCTION("GOOGLETRANSLATE(B3707, ""bn"", ""en"")"),"The captain ordered an attack and massacre at the temple where many Hindus were killed during worship and some were forced to commit suicide in self-defence.")</f>
        <v>The captain ordered an attack and massacre at the temple where many Hindus were killed during worship and some were forced to commit suicide in self-defence.</v>
      </c>
      <c r="D3707" s="5"/>
      <c r="E3707" s="5"/>
      <c r="F3707" s="5"/>
      <c r="G3707" s="5"/>
      <c r="H3707" s="5"/>
      <c r="I3707" s="5"/>
      <c r="J3707" s="5"/>
      <c r="K3707" s="5"/>
      <c r="L3707" s="5"/>
      <c r="M3707" s="5"/>
      <c r="N3707" s="5"/>
      <c r="O3707" s="5"/>
      <c r="P3707" s="5"/>
      <c r="Q3707" s="5"/>
      <c r="R3707" s="5"/>
      <c r="S3707" s="5"/>
      <c r="T3707" s="5"/>
      <c r="U3707" s="5"/>
      <c r="V3707" s="5"/>
      <c r="W3707" s="5"/>
      <c r="X3707" s="5"/>
      <c r="Y3707" s="5"/>
      <c r="Z3707" s="5"/>
    </row>
    <row r="3708" spans="1:26" ht="15.6" x14ac:dyDescent="0.3">
      <c r="A3708" s="18" t="s">
        <v>5</v>
      </c>
      <c r="B3708" s="25" t="s">
        <v>3693</v>
      </c>
      <c r="C3708" s="2" t="str">
        <f ca="1">IFERROR(__xludf.DUMMYFUNCTION("GOOGLETRANSLATE(B3708, ""bn"", ""en"")"),"Anti-Hindu writings were spread on the walls of Wari and Tikatuli, many Hindus were killed under the slogan 'Kill the Hindus'.")</f>
        <v>Anti-Hindu writings were spread on the walls of Wari and Tikatuli, many Hindus were killed under the slogan 'Kill the Hindus'.</v>
      </c>
      <c r="D3708" s="5"/>
      <c r="E3708" s="5"/>
      <c r="F3708" s="5"/>
      <c r="G3708" s="5"/>
      <c r="H3708" s="5"/>
      <c r="I3708" s="5"/>
      <c r="J3708" s="5"/>
      <c r="K3708" s="5"/>
      <c r="L3708" s="5"/>
      <c r="M3708" s="5"/>
      <c r="N3708" s="5"/>
      <c r="O3708" s="5"/>
      <c r="P3708" s="5"/>
      <c r="Q3708" s="5"/>
      <c r="R3708" s="5"/>
      <c r="S3708" s="5"/>
      <c r="T3708" s="5"/>
      <c r="U3708" s="5"/>
      <c r="V3708" s="5"/>
      <c r="W3708" s="5"/>
      <c r="X3708" s="5"/>
      <c r="Y3708" s="5"/>
      <c r="Z3708" s="5"/>
    </row>
    <row r="3709" spans="1:26" ht="15.6" x14ac:dyDescent="0.3">
      <c r="A3709" s="18" t="s">
        <v>8</v>
      </c>
      <c r="B3709" s="24" t="s">
        <v>3694</v>
      </c>
      <c r="C3709" s="2" t="str">
        <f ca="1">IFERROR(__xludf.DUMMYFUNCTION("GOOGLETRANSLATE(B3709, ""bn"", ""en"")"),"On October 30, 2023, a Radhakrishna temple at Parvatipur in Dinajpur was broken into by a man who broke into the temple's tin in the dark of night and destroyed the idol.")</f>
        <v>On October 30, 2023, a Radhakrishna temple at Parvatipur in Dinajpur was broken into by a man who broke into the temple's tin in the dark of night and destroyed the idol.</v>
      </c>
      <c r="D3709" s="5"/>
      <c r="E3709" s="5"/>
      <c r="F3709" s="5"/>
      <c r="G3709" s="5"/>
      <c r="H3709" s="5"/>
      <c r="I3709" s="5"/>
      <c r="J3709" s="5"/>
      <c r="K3709" s="5"/>
      <c r="L3709" s="5"/>
      <c r="M3709" s="5"/>
      <c r="N3709" s="5"/>
      <c r="O3709" s="5"/>
      <c r="P3709" s="5"/>
      <c r="Q3709" s="5"/>
      <c r="R3709" s="5"/>
      <c r="S3709" s="5"/>
      <c r="T3709" s="5"/>
      <c r="U3709" s="5"/>
      <c r="V3709" s="5"/>
      <c r="W3709" s="5"/>
      <c r="X3709" s="5"/>
      <c r="Y3709" s="5"/>
      <c r="Z3709" s="5"/>
    </row>
    <row r="3710" spans="1:26" ht="15.6" x14ac:dyDescent="0.3">
      <c r="A3710" s="18" t="s">
        <v>5</v>
      </c>
      <c r="B3710" s="24" t="s">
        <v>3695</v>
      </c>
      <c r="C3710" s="2" t="str">
        <f ca="1">IFERROR(__xludf.DUMMYFUNCTION("GOOGLETRANSLATE(B3710, ""bn"", ""en"")"),"On March 17, 2021, a Hindu home was attacked in Sunamganj's Shalla Upazila for allegedly commenting on a religious leader on Facebook. 88 houses and 8 temples were vandalized, killing 12 people.")</f>
        <v>On March 17, 2021, a Hindu home was attacked in Sunamganj's Shalla Upazila for allegedly commenting on a religious leader on Facebook. 88 houses and 8 temples were vandalized, killing 12 people.</v>
      </c>
      <c r="D3710" s="5"/>
      <c r="E3710" s="5"/>
      <c r="F3710" s="5"/>
      <c r="G3710" s="5"/>
      <c r="H3710" s="5"/>
      <c r="I3710" s="5"/>
      <c r="J3710" s="5"/>
      <c r="K3710" s="5"/>
      <c r="L3710" s="5"/>
      <c r="M3710" s="5"/>
      <c r="N3710" s="5"/>
      <c r="O3710" s="5"/>
      <c r="P3710" s="5"/>
      <c r="Q3710" s="5"/>
      <c r="R3710" s="5"/>
      <c r="S3710" s="5"/>
      <c r="T3710" s="5"/>
      <c r="U3710" s="5"/>
      <c r="V3710" s="5"/>
      <c r="W3710" s="5"/>
      <c r="X3710" s="5"/>
      <c r="Y3710" s="5"/>
      <c r="Z3710" s="5"/>
    </row>
    <row r="3711" spans="1:26" ht="15.6" x14ac:dyDescent="0.3">
      <c r="A3711" s="18" t="s">
        <v>3</v>
      </c>
      <c r="B3711" s="25" t="s">
        <v>3696</v>
      </c>
      <c r="C3711" s="2" t="str">
        <f ca="1">IFERROR(__xludf.DUMMYFUNCTION("GOOGLETRANSLATE(B3711, ""bn"", ""en"")"),"In many places, it is a common tradition to seek forgiveness from Allah on behalf of the deceased, which is why people visit the graves of their loved ones, pray and light candles and incense sticks on their loved ones' graves.")</f>
        <v>In many places, it is a common tradition to seek forgiveness from Allah on behalf of the deceased, which is why people visit the graves of their loved ones, pray and light candles and incense sticks on their loved ones' graves.</v>
      </c>
      <c r="D3711" s="5"/>
      <c r="E3711" s="5"/>
      <c r="F3711" s="5"/>
      <c r="G3711" s="5"/>
      <c r="H3711" s="5"/>
      <c r="I3711" s="5"/>
      <c r="J3711" s="5"/>
      <c r="K3711" s="5"/>
      <c r="L3711" s="5"/>
      <c r="M3711" s="5"/>
      <c r="N3711" s="5"/>
      <c r="O3711" s="5"/>
      <c r="P3711" s="5"/>
      <c r="Q3711" s="5"/>
      <c r="R3711" s="5"/>
      <c r="S3711" s="5"/>
      <c r="T3711" s="5"/>
      <c r="U3711" s="5"/>
      <c r="V3711" s="5"/>
      <c r="W3711" s="5"/>
      <c r="X3711" s="5"/>
      <c r="Y3711" s="5"/>
      <c r="Z3711" s="5"/>
    </row>
    <row r="3712" spans="1:26" ht="15.6" x14ac:dyDescent="0.3">
      <c r="A3712" s="19" t="s">
        <v>23</v>
      </c>
      <c r="B3712" s="26" t="s">
        <v>3697</v>
      </c>
      <c r="C3712" s="2" t="str">
        <f ca="1">IFERROR(__xludf.DUMMYFUNCTION("GOOGLETRANSLATE(B3712, ""bn"", ""en"")"),"Don't mind that. Please keep your husband, brother, father, mother, daughter, husband, sister, and keep them at home. If you do bad things, what will we learn? From the cradle of our husbands, fathers, brothers.")</f>
        <v>Don't mind that. Please keep your husband, brother, father, mother, daughter, husband, sister, and keep them at home. If you do bad things, what will we learn? From the cradle of our husbands, fathers, brothers.</v>
      </c>
      <c r="D3712" s="5"/>
      <c r="E3712" s="5"/>
      <c r="F3712" s="5"/>
      <c r="G3712" s="5"/>
      <c r="H3712" s="5"/>
      <c r="I3712" s="5"/>
      <c r="J3712" s="5"/>
      <c r="K3712" s="5"/>
      <c r="L3712" s="5"/>
      <c r="M3712" s="5"/>
      <c r="N3712" s="5"/>
      <c r="O3712" s="5"/>
      <c r="P3712" s="5"/>
      <c r="Q3712" s="5"/>
      <c r="R3712" s="5"/>
      <c r="S3712" s="5"/>
      <c r="T3712" s="5"/>
      <c r="U3712" s="5"/>
      <c r="V3712" s="5"/>
      <c r="W3712" s="5"/>
      <c r="X3712" s="5"/>
      <c r="Y3712" s="5"/>
      <c r="Z3712" s="5"/>
    </row>
    <row r="3713" spans="1:26" ht="15.6" x14ac:dyDescent="0.3">
      <c r="A3713" s="18" t="s">
        <v>5</v>
      </c>
      <c r="B3713" s="24" t="s">
        <v>3698</v>
      </c>
      <c r="C3713" s="2" t="str">
        <f ca="1">IFERROR(__xludf.DUMMYFUNCTION("GOOGLETRANSLATE(B3713, ""bn"", ""en"")"),"40 people were killed in clashes in Madaripur due to religious unrest. Police quickly cordoned off the area, with the government ordering religious tolerance and peace. Many families seek shelter for safety.")</f>
        <v>40 people were killed in clashes in Madaripur due to religious unrest. Police quickly cordoned off the area, with the government ordering religious tolerance and peace. Many families seek shelter for safety.</v>
      </c>
      <c r="D3713" s="5"/>
      <c r="E3713" s="5"/>
      <c r="F3713" s="5"/>
      <c r="G3713" s="5"/>
      <c r="H3713" s="5"/>
      <c r="I3713" s="5"/>
      <c r="J3713" s="5"/>
      <c r="K3713" s="5"/>
      <c r="L3713" s="5"/>
      <c r="M3713" s="5"/>
      <c r="N3713" s="5"/>
      <c r="O3713" s="5"/>
      <c r="P3713" s="5"/>
      <c r="Q3713" s="5"/>
      <c r="R3713" s="5"/>
      <c r="S3713" s="5"/>
      <c r="T3713" s="5"/>
      <c r="U3713" s="5"/>
      <c r="V3713" s="5"/>
      <c r="W3713" s="5"/>
      <c r="X3713" s="5"/>
      <c r="Y3713" s="5"/>
      <c r="Z3713" s="5"/>
    </row>
    <row r="3714" spans="1:26" ht="15.6" x14ac:dyDescent="0.3">
      <c r="A3714" s="18" t="s">
        <v>3</v>
      </c>
      <c r="B3714" s="25" t="s">
        <v>3699</v>
      </c>
      <c r="C3714" s="2" t="str">
        <f ca="1">IFERROR(__xludf.DUMMYFUNCTION("GOOGLETRANSLATE(B3714, ""bn"", ""en"")"),"Abhayacharan De, born in Taliganj area of ​​South Kolkata, later in life Abhay Charanavinda Bhaktivedanta Swami 'Prabhupada' or AC Bhaktivedanta is the founder of ISKCON.")</f>
        <v>Abhayacharan De, born in Taliganj area of ​​South Kolkata, later in life Abhay Charanavinda Bhaktivedanta Swami 'Prabhupada' or AC Bhaktivedanta is the founder of ISKCON.</v>
      </c>
      <c r="D3714" s="7"/>
      <c r="E3714" s="7"/>
      <c r="F3714" s="7"/>
      <c r="G3714" s="7"/>
      <c r="H3714" s="7"/>
      <c r="I3714" s="7"/>
      <c r="J3714" s="5"/>
      <c r="K3714" s="5"/>
      <c r="L3714" s="5"/>
      <c r="M3714" s="5"/>
      <c r="N3714" s="5"/>
      <c r="O3714" s="5"/>
      <c r="P3714" s="5"/>
      <c r="Q3714" s="5"/>
      <c r="R3714" s="5"/>
      <c r="S3714" s="5"/>
      <c r="T3714" s="5"/>
      <c r="U3714" s="5"/>
      <c r="V3714" s="5"/>
      <c r="W3714" s="5"/>
      <c r="X3714" s="5"/>
      <c r="Y3714" s="5"/>
      <c r="Z3714" s="5"/>
    </row>
    <row r="3715" spans="1:26" ht="15.6" x14ac:dyDescent="0.3">
      <c r="A3715" s="19" t="s">
        <v>5</v>
      </c>
      <c r="B3715" s="26" t="s">
        <v>2438</v>
      </c>
      <c r="C3715" s="2" t="str">
        <f ca="1">IFERROR(__xludf.DUMMYFUNCTION("GOOGLETRANSLATE(B3715, ""bn"", ""en"")"),"A few days ago, the Muslim students of the university who were attacked because of their religious identity were not members of any political party.")</f>
        <v>A few days ago, the Muslim students of the university who were attacked because of their religious identity were not members of any political party.</v>
      </c>
      <c r="D3715" s="7"/>
      <c r="E3715" s="7"/>
      <c r="F3715" s="7"/>
      <c r="G3715" s="7"/>
      <c r="H3715" s="7"/>
      <c r="I3715" s="7"/>
      <c r="J3715" s="5"/>
      <c r="K3715" s="5"/>
      <c r="L3715" s="5"/>
      <c r="M3715" s="5"/>
      <c r="N3715" s="5"/>
      <c r="O3715" s="5"/>
      <c r="P3715" s="5"/>
      <c r="Q3715" s="5"/>
      <c r="R3715" s="5"/>
      <c r="S3715" s="5"/>
      <c r="T3715" s="5"/>
      <c r="U3715" s="5"/>
      <c r="V3715" s="5"/>
      <c r="W3715" s="5"/>
      <c r="X3715" s="5"/>
      <c r="Y3715" s="5"/>
      <c r="Z3715" s="5"/>
    </row>
    <row r="3716" spans="1:26" ht="15.6" x14ac:dyDescent="0.3">
      <c r="A3716" s="19" t="s">
        <v>3</v>
      </c>
      <c r="B3716" s="26" t="s">
        <v>3700</v>
      </c>
      <c r="C3716" s="2" t="str">
        <f ca="1">IFERROR(__xludf.DUMMYFUNCTION("GOOGLETRANSLATE(B3716, ""bn"", ""en"")"),"There are two beliefs associated with the festival, the first belief is that Lord Shiva appeared as Jyotirlinga on this tithi, while the second belief is that Shiva-Parvati got married on this tithi.")</f>
        <v>There are two beliefs associated with the festival, the first belief is that Lord Shiva appeared as Jyotirlinga on this tithi, while the second belief is that Shiva-Parvati got married on this tithi.</v>
      </c>
      <c r="D3716" s="5"/>
      <c r="E3716" s="5"/>
      <c r="F3716" s="5"/>
      <c r="G3716" s="5"/>
      <c r="H3716" s="5"/>
      <c r="I3716" s="5"/>
      <c r="J3716" s="5"/>
      <c r="K3716" s="5"/>
      <c r="L3716" s="5"/>
      <c r="M3716" s="5"/>
      <c r="N3716" s="5"/>
      <c r="O3716" s="5"/>
      <c r="P3716" s="5"/>
      <c r="Q3716" s="5"/>
      <c r="R3716" s="5"/>
      <c r="S3716" s="5"/>
      <c r="T3716" s="5"/>
      <c r="U3716" s="5"/>
      <c r="V3716" s="5"/>
      <c r="W3716" s="5"/>
      <c r="X3716" s="5"/>
      <c r="Y3716" s="5"/>
      <c r="Z3716" s="5"/>
    </row>
    <row r="3717" spans="1:26" ht="15.6" x14ac:dyDescent="0.3">
      <c r="A3717" s="19" t="s">
        <v>5</v>
      </c>
      <c r="B3717" s="26" t="s">
        <v>3701</v>
      </c>
      <c r="C3717" s="2" t="str">
        <f ca="1">IFERROR(__xludf.DUMMYFUNCTION("GOOGLETRANSLATE(B3717, ""bn"", ""en"")"),"After the demolition of the Babri Masjid in 1992, thousands of people were killed in riots in various parts of Noakhali, an extreme manifestation of religious tensions.")</f>
        <v>After the demolition of the Babri Masjid in 1992, thousands of people were killed in riots in various parts of Noakhali, an extreme manifestation of religious tensions.</v>
      </c>
      <c r="D3717" s="5"/>
      <c r="E3717" s="5"/>
      <c r="F3717" s="5"/>
      <c r="G3717" s="5"/>
      <c r="H3717" s="5"/>
      <c r="I3717" s="5"/>
      <c r="J3717" s="5"/>
      <c r="K3717" s="5"/>
      <c r="L3717" s="5"/>
      <c r="M3717" s="5"/>
      <c r="N3717" s="5"/>
      <c r="O3717" s="5"/>
      <c r="P3717" s="5"/>
      <c r="Q3717" s="5"/>
      <c r="R3717" s="5"/>
      <c r="S3717" s="5"/>
      <c r="T3717" s="5"/>
      <c r="U3717" s="5"/>
      <c r="V3717" s="5"/>
      <c r="W3717" s="5"/>
      <c r="X3717" s="5"/>
      <c r="Y3717" s="5"/>
      <c r="Z3717" s="5"/>
    </row>
    <row r="3718" spans="1:26" ht="15.6" x14ac:dyDescent="0.3">
      <c r="A3718" s="19" t="s">
        <v>3</v>
      </c>
      <c r="B3718" s="26" t="s">
        <v>3702</v>
      </c>
      <c r="C3718" s="2" t="str">
        <f ca="1">IFERROR(__xludf.DUMMYFUNCTION("GOOGLETRANSLATE(B3718, ""bn"", ""en"")"),"The effort and study you put into making this video really amazed me. Allah Almighty says that science can never prove Allah Almighty, but Allah says that, have you not seen My signs? Those who do not believe after seeing these signs of Allah are truly un"&amp;"fortunate. Allahu Akbar")</f>
        <v>The effort and study you put into making this video really amazed me. Allah Almighty says that science can never prove Allah Almighty, but Allah says that, have you not seen My signs? Those who do not believe after seeing these signs of Allah are truly unfortunate. Allahu Akbar</v>
      </c>
      <c r="D3718" s="7"/>
      <c r="E3718" s="7"/>
      <c r="F3718" s="7"/>
      <c r="G3718" s="7"/>
      <c r="H3718" s="7"/>
      <c r="I3718" s="7"/>
      <c r="J3718" s="7"/>
      <c r="K3718" s="7"/>
      <c r="L3718" s="7"/>
      <c r="M3718" s="7"/>
      <c r="N3718" s="5"/>
      <c r="O3718" s="5"/>
      <c r="P3718" s="5"/>
      <c r="Q3718" s="5"/>
      <c r="R3718" s="5"/>
      <c r="S3718" s="5"/>
      <c r="T3718" s="5"/>
      <c r="U3718" s="5"/>
      <c r="V3718" s="5"/>
      <c r="W3718" s="5"/>
      <c r="X3718" s="5"/>
      <c r="Y3718" s="5"/>
      <c r="Z3718" s="5"/>
    </row>
    <row r="3719" spans="1:26" ht="15.6" x14ac:dyDescent="0.3">
      <c r="A3719" s="19" t="s">
        <v>23</v>
      </c>
      <c r="B3719" s="26" t="s">
        <v>3703</v>
      </c>
      <c r="C3719" s="2" t="str">
        <f ca="1">IFERROR(__xludf.DUMMYFUNCTION("GOOGLETRANSLATE(B3719, ""bn"", ""en"")"),"Linford said Nathaniel, Gareth and Stacey Train carried out the terrorist attack for religious reasons.")</f>
        <v>Linford said Nathaniel, Gareth and Stacey Train carried out the terrorist attack for religious reasons.</v>
      </c>
      <c r="D3719" s="7"/>
      <c r="E3719" s="7"/>
      <c r="F3719" s="5"/>
      <c r="G3719" s="5"/>
      <c r="H3719" s="5"/>
      <c r="I3719" s="5"/>
      <c r="J3719" s="5"/>
      <c r="K3719" s="5"/>
      <c r="L3719" s="5"/>
      <c r="M3719" s="5"/>
      <c r="N3719" s="5"/>
      <c r="O3719" s="5"/>
      <c r="P3719" s="5"/>
      <c r="Q3719" s="5"/>
      <c r="R3719" s="5"/>
      <c r="S3719" s="5"/>
      <c r="T3719" s="5"/>
      <c r="U3719" s="5"/>
      <c r="V3719" s="5"/>
      <c r="W3719" s="5"/>
      <c r="X3719" s="5"/>
      <c r="Y3719" s="5"/>
      <c r="Z3719" s="5"/>
    </row>
    <row r="3720" spans="1:26" ht="15.6" x14ac:dyDescent="0.3">
      <c r="A3720" s="18" t="s">
        <v>23</v>
      </c>
      <c r="B3720" s="25" t="s">
        <v>3704</v>
      </c>
      <c r="C3720" s="2" t="str">
        <f ca="1">IFERROR(__xludf.DUMMYFUNCTION("GOOGLETRANSLATE(B3720, ""bn"", ""en"")"),"Offline or in real life they are completely unsuccessful, there their arguments or claims do not survive, their lives are spent in the frustration of religion.")</f>
        <v>Offline or in real life they are completely unsuccessful, there their arguments or claims do not survive, their lives are spent in the frustration of religion.</v>
      </c>
      <c r="D3720" s="5"/>
      <c r="E3720" s="5"/>
      <c r="F3720" s="5"/>
      <c r="G3720" s="5"/>
      <c r="H3720" s="5"/>
      <c r="I3720" s="5"/>
      <c r="J3720" s="5"/>
      <c r="K3720" s="5"/>
      <c r="L3720" s="5"/>
      <c r="M3720" s="5"/>
      <c r="N3720" s="5"/>
      <c r="O3720" s="5"/>
      <c r="P3720" s="5"/>
      <c r="Q3720" s="5"/>
      <c r="R3720" s="5"/>
      <c r="S3720" s="5"/>
      <c r="T3720" s="5"/>
      <c r="U3720" s="5"/>
      <c r="V3720" s="5"/>
      <c r="W3720" s="5"/>
      <c r="X3720" s="5"/>
      <c r="Y3720" s="5"/>
      <c r="Z3720" s="5"/>
    </row>
    <row r="3721" spans="1:26" ht="15.6" x14ac:dyDescent="0.3">
      <c r="A3721" s="18" t="s">
        <v>23</v>
      </c>
      <c r="B3721" s="25" t="s">
        <v>3705</v>
      </c>
      <c r="C3721" s="2" t="str">
        <f ca="1">IFERROR(__xludf.DUMMYFUNCTION("GOOGLETRANSLATE(B3721, ""bn"", ""en"")"),"Since almost all religions, including Islam, are allowed to have limited festivals in their own way, they have left their rituals in the open market with the joy of Fakhruddin's chutney.")</f>
        <v>Since almost all religions, including Islam, are allowed to have limited festivals in their own way, they have left their rituals in the open market with the joy of Fakhruddin's chutney.</v>
      </c>
      <c r="D3721" s="6"/>
      <c r="E3721" s="6"/>
      <c r="F3721" s="6"/>
      <c r="G3721" s="6"/>
      <c r="H3721" s="3"/>
      <c r="I3721" s="3"/>
      <c r="J3721" s="3"/>
      <c r="K3721" s="3"/>
      <c r="L3721" s="3"/>
      <c r="M3721" s="3"/>
      <c r="N3721" s="3"/>
      <c r="O3721" s="3"/>
      <c r="P3721" s="3"/>
      <c r="Q3721" s="3"/>
      <c r="R3721" s="3"/>
      <c r="S3721" s="3"/>
      <c r="T3721" s="3"/>
      <c r="U3721" s="3"/>
      <c r="V3721" s="3"/>
      <c r="W3721" s="3"/>
      <c r="X3721" s="3"/>
      <c r="Y3721" s="3"/>
      <c r="Z3721" s="3"/>
    </row>
    <row r="3722" spans="1:26" ht="15.6" x14ac:dyDescent="0.3">
      <c r="A3722" s="19" t="s">
        <v>3</v>
      </c>
      <c r="B3722" s="26" t="s">
        <v>3706</v>
      </c>
      <c r="C3722" s="2" t="str">
        <f ca="1">IFERROR(__xludf.DUMMYFUNCTION("GOOGLETRANSLATE(B3722, ""bn"", ""en"")"),"We believe in secularism. We believe in religious tolerance. I am Hindu. Others may be of other religious beliefs. We should respect all religions.")</f>
        <v>We believe in secularism. We believe in religious tolerance. I am Hindu. Others may be of other religious beliefs. We should respect all religions.</v>
      </c>
      <c r="D3722" s="5"/>
      <c r="E3722" s="5"/>
      <c r="F3722" s="5"/>
      <c r="G3722" s="5"/>
      <c r="H3722" s="5"/>
      <c r="I3722" s="5"/>
      <c r="J3722" s="5"/>
      <c r="K3722" s="5"/>
      <c r="L3722" s="5"/>
      <c r="M3722" s="5"/>
      <c r="N3722" s="5"/>
      <c r="O3722" s="5"/>
      <c r="P3722" s="5"/>
      <c r="Q3722" s="5"/>
      <c r="R3722" s="5"/>
      <c r="S3722" s="5"/>
      <c r="T3722" s="5"/>
      <c r="U3722" s="5"/>
      <c r="V3722" s="5"/>
      <c r="W3722" s="5"/>
      <c r="X3722" s="5"/>
      <c r="Y3722" s="5"/>
      <c r="Z3722" s="5"/>
    </row>
    <row r="3723" spans="1:26" ht="15.6" x14ac:dyDescent="0.3">
      <c r="A3723" s="18" t="s">
        <v>8</v>
      </c>
      <c r="B3723" s="24" t="s">
        <v>3707</v>
      </c>
      <c r="C3723" s="2" t="str">
        <f ca="1">IFERROR(__xludf.DUMMYFUNCTION("GOOGLETRANSLATE(B3723, ""bn"", ""en"")"),"On January 30, 2025, a stone idol was broken inside an old Radhakrishna temple in Fenchuganj, Sylhet and left next to the toilet.")</f>
        <v>On January 30, 2025, a stone idol was broken inside an old Radhakrishna temple in Fenchuganj, Sylhet and left next to the toilet.</v>
      </c>
      <c r="D3723" s="5"/>
      <c r="E3723" s="5"/>
      <c r="F3723" s="5"/>
      <c r="G3723" s="5"/>
      <c r="H3723" s="5"/>
      <c r="I3723" s="5"/>
      <c r="J3723" s="5"/>
      <c r="K3723" s="5"/>
      <c r="L3723" s="5"/>
      <c r="M3723" s="5"/>
      <c r="N3723" s="5"/>
      <c r="O3723" s="5"/>
      <c r="P3723" s="5"/>
      <c r="Q3723" s="5"/>
      <c r="R3723" s="5"/>
      <c r="S3723" s="5"/>
      <c r="T3723" s="5"/>
      <c r="U3723" s="5"/>
      <c r="V3723" s="5"/>
      <c r="W3723" s="5"/>
      <c r="X3723" s="5"/>
      <c r="Y3723" s="5"/>
      <c r="Z3723" s="5"/>
    </row>
    <row r="3724" spans="1:26" ht="15.6" x14ac:dyDescent="0.3">
      <c r="A3724" s="19" t="s">
        <v>3</v>
      </c>
      <c r="B3724" s="26" t="s">
        <v>3708</v>
      </c>
      <c r="C3724" s="2" t="str">
        <f ca="1">IFERROR(__xludf.DUMMYFUNCTION("GOOGLETRANSLATE(B3724, ""bn"", ""en"")"),"After death, two questioning angels named Munkar and Naqir, with blue eyes and dark complexion, appear during the funeral.")</f>
        <v>After death, two questioning angels named Munkar and Naqir, with blue eyes and dark complexion, appear during the funeral.</v>
      </c>
      <c r="D3724" s="7"/>
      <c r="E3724" s="7"/>
      <c r="F3724" s="7"/>
      <c r="G3724" s="7"/>
      <c r="H3724" s="5"/>
      <c r="I3724" s="5"/>
      <c r="J3724" s="5"/>
      <c r="K3724" s="5"/>
      <c r="L3724" s="5"/>
      <c r="M3724" s="5"/>
      <c r="N3724" s="5"/>
      <c r="O3724" s="5"/>
      <c r="P3724" s="5"/>
      <c r="Q3724" s="5"/>
      <c r="R3724" s="5"/>
      <c r="S3724" s="5"/>
      <c r="T3724" s="5"/>
      <c r="U3724" s="5"/>
      <c r="V3724" s="5"/>
      <c r="W3724" s="5"/>
      <c r="X3724" s="5"/>
      <c r="Y3724" s="5"/>
      <c r="Z3724" s="5"/>
    </row>
    <row r="3725" spans="1:26" ht="15.6" x14ac:dyDescent="0.3">
      <c r="A3725" s="18" t="s">
        <v>8</v>
      </c>
      <c r="B3725" s="25" t="s">
        <v>3709</v>
      </c>
      <c r="C3725" s="2" t="str">
        <f ca="1">IFERROR(__xludf.DUMMYFUNCTION("GOOGLETRANSLATE(B3725, ""bn"", ""en"")"),"He was under Pooja's security. While interrogating the four suspects, 10-12 fanatical extremists beat him up in the temple and injured him.")</f>
        <v>He was under Pooja's security. While interrogating the four suspects, 10-12 fanatical extremists beat him up in the temple and injured him.</v>
      </c>
      <c r="D3725" s="2"/>
      <c r="E3725" s="2"/>
      <c r="F3725" s="2"/>
      <c r="G3725" s="2"/>
      <c r="H3725" s="5"/>
      <c r="I3725" s="5"/>
      <c r="J3725" s="5"/>
      <c r="K3725" s="5"/>
      <c r="L3725" s="5"/>
      <c r="M3725" s="5"/>
      <c r="N3725" s="5"/>
      <c r="O3725" s="5"/>
      <c r="P3725" s="5"/>
      <c r="Q3725" s="5"/>
      <c r="R3725" s="5"/>
      <c r="S3725" s="5"/>
      <c r="T3725" s="5"/>
      <c r="U3725" s="5"/>
      <c r="V3725" s="5"/>
      <c r="W3725" s="5"/>
      <c r="X3725" s="5"/>
      <c r="Y3725" s="5"/>
      <c r="Z3725" s="5"/>
    </row>
    <row r="3726" spans="1:26" ht="15.6" x14ac:dyDescent="0.3">
      <c r="A3726" s="18" t="s">
        <v>5</v>
      </c>
      <c r="B3726" s="24" t="s">
        <v>3710</v>
      </c>
      <c r="C3726" s="2" t="str">
        <f ca="1">IFERROR(__xludf.DUMMYFUNCTION("GOOGLETRANSLATE(B3726, ""bn"", ""en"")"),"29 people were killed in Hindu-Muslim clashes in Lalmonirhat. Army was deployed to calm the situation. Serious destruction occurred during the conflict.")</f>
        <v>29 people were killed in Hindu-Muslim clashes in Lalmonirhat. Army was deployed to calm the situation. Serious destruction occurred during the conflict.</v>
      </c>
      <c r="D3726" s="5"/>
      <c r="E3726" s="5"/>
      <c r="F3726" s="5"/>
      <c r="G3726" s="5"/>
      <c r="H3726" s="5"/>
      <c r="I3726" s="5"/>
      <c r="J3726" s="5"/>
      <c r="K3726" s="5"/>
      <c r="L3726" s="5"/>
      <c r="M3726" s="5"/>
      <c r="N3726" s="5"/>
      <c r="O3726" s="5"/>
      <c r="P3726" s="5"/>
      <c r="Q3726" s="5"/>
      <c r="R3726" s="5"/>
      <c r="S3726" s="5"/>
      <c r="T3726" s="5"/>
      <c r="U3726" s="5"/>
      <c r="V3726" s="5"/>
      <c r="W3726" s="5"/>
      <c r="X3726" s="5"/>
      <c r="Y3726" s="5"/>
      <c r="Z3726" s="5"/>
    </row>
    <row r="3727" spans="1:26" ht="15.6" x14ac:dyDescent="0.3">
      <c r="A3727" s="19" t="s">
        <v>3</v>
      </c>
      <c r="B3727" s="26" t="s">
        <v>3711</v>
      </c>
      <c r="C3727" s="2" t="str">
        <f ca="1">IFERROR(__xludf.DUMMYFUNCTION("GOOGLETRANSLATE(B3727, ""bn"", ""en"")"),"""Finland"" is again the first in the list of happiest countries. The country has retained this achievement for 7 consecutive times. The people of the country are roughly 'atheists'. Almost half of parliament is women, head of government is also a woman ("&amp;"2019), age 34. Bangladesh is 129 in the list of happiest countries. At the bottom is the fanatical, Taliban state of Afghanistan")</f>
        <v>"Finland" is again the first in the list of happiest countries. The country has retained this achievement for 7 consecutive times. The people of the country are roughly 'atheists'. Almost half of parliament is women, head of government is also a woman (2019), age 34. Bangladesh is 129 in the list of happiest countries. At the bottom is the fanatical, Taliban state of Afghanistan</v>
      </c>
      <c r="D3727" s="7"/>
      <c r="E3727" s="7"/>
      <c r="F3727" s="7"/>
      <c r="G3727" s="7"/>
      <c r="H3727" s="7"/>
      <c r="I3727" s="7"/>
      <c r="J3727" s="7"/>
      <c r="K3727" s="7"/>
      <c r="L3727" s="5"/>
      <c r="M3727" s="5"/>
      <c r="N3727" s="5"/>
      <c r="O3727" s="5"/>
      <c r="P3727" s="5"/>
      <c r="Q3727" s="5"/>
      <c r="R3727" s="5"/>
      <c r="S3727" s="5"/>
      <c r="T3727" s="5"/>
      <c r="U3727" s="5"/>
      <c r="V3727" s="5"/>
      <c r="W3727" s="5"/>
      <c r="X3727" s="5"/>
      <c r="Y3727" s="5"/>
      <c r="Z3727" s="5"/>
    </row>
    <row r="3728" spans="1:26" ht="15.6" x14ac:dyDescent="0.3">
      <c r="A3728" s="18" t="s">
        <v>3</v>
      </c>
      <c r="B3728" s="25" t="s">
        <v>3712</v>
      </c>
      <c r="C3728" s="2" t="str">
        <f ca="1">IFERROR(__xludf.DUMMYFUNCTION("GOOGLETRANSLATE(B3728, ""bn"", ""en"")"),"By placing full trust in Allah, Muslims are able to gain self-confidence and peace.")</f>
        <v>By placing full trust in Allah, Muslims are able to gain self-confidence and peace.</v>
      </c>
      <c r="D3728" s="2"/>
      <c r="E3728" s="2"/>
      <c r="F3728" s="2"/>
      <c r="G3728" s="2"/>
      <c r="H3728" s="5"/>
      <c r="I3728" s="5"/>
      <c r="J3728" s="5"/>
      <c r="K3728" s="5"/>
      <c r="L3728" s="5"/>
      <c r="M3728" s="5"/>
      <c r="N3728" s="5"/>
      <c r="O3728" s="5"/>
      <c r="P3728" s="5"/>
      <c r="Q3728" s="5"/>
      <c r="R3728" s="5"/>
      <c r="S3728" s="5"/>
      <c r="T3728" s="5"/>
      <c r="U3728" s="5"/>
      <c r="V3728" s="5"/>
      <c r="W3728" s="5"/>
      <c r="X3728" s="5"/>
      <c r="Y3728" s="5"/>
      <c r="Z3728" s="5"/>
    </row>
    <row r="3729" spans="1:26" ht="15.6" x14ac:dyDescent="0.3">
      <c r="A3729" s="18" t="s">
        <v>3</v>
      </c>
      <c r="B3729" s="25" t="s">
        <v>3713</v>
      </c>
      <c r="C3729" s="2" t="str">
        <f ca="1">IFERROR(__xludf.DUMMYFUNCTION("GOOGLETRANSLATE(B3729, ""bn"", ""en"")"),"Alhamdulillah, I got rid of many troubles. By the infinite mercy of Almighty Allah, I was fortunate to hear the words.")</f>
        <v>Alhamdulillah, I got rid of many troubles. By the infinite mercy of Almighty Allah, I was fortunate to hear the words.</v>
      </c>
      <c r="D3729" s="2"/>
      <c r="E3729" s="2"/>
      <c r="F3729" s="2"/>
      <c r="G3729" s="2"/>
      <c r="H3729" s="5"/>
      <c r="I3729" s="5"/>
      <c r="J3729" s="5"/>
      <c r="K3729" s="5"/>
      <c r="L3729" s="5"/>
      <c r="M3729" s="5"/>
      <c r="N3729" s="5"/>
      <c r="O3729" s="5"/>
      <c r="P3729" s="5"/>
      <c r="Q3729" s="5"/>
      <c r="R3729" s="5"/>
      <c r="S3729" s="5"/>
      <c r="T3729" s="5"/>
      <c r="U3729" s="5"/>
      <c r="V3729" s="5"/>
      <c r="W3729" s="5"/>
      <c r="X3729" s="5"/>
      <c r="Y3729" s="5"/>
      <c r="Z3729" s="5"/>
    </row>
    <row r="3730" spans="1:26" ht="15.6" x14ac:dyDescent="0.3">
      <c r="A3730" s="19" t="s">
        <v>8</v>
      </c>
      <c r="B3730" s="26" t="s">
        <v>3714</v>
      </c>
      <c r="C3730" s="2" t="str">
        <f ca="1">IFERROR(__xludf.DUMMYFUNCTION("GOOGLETRANSLATE(B3730, ""bn"", ""en"")"),"Miscreants set fire to a temple in Juri Upazila of Moulvibazar district on March 12 noon. But people around the temple quickly brought the fire under control.")</f>
        <v>Miscreants set fire to a temple in Juri Upazila of Moulvibazar district on March 12 noon. But people around the temple quickly brought the fire under control.</v>
      </c>
      <c r="D3730" s="5"/>
      <c r="E3730" s="5"/>
      <c r="F3730" s="5"/>
      <c r="G3730" s="5"/>
      <c r="H3730" s="5"/>
      <c r="I3730" s="5"/>
      <c r="J3730" s="5"/>
      <c r="K3730" s="5"/>
      <c r="L3730" s="5"/>
      <c r="M3730" s="5"/>
      <c r="N3730" s="5"/>
      <c r="O3730" s="5"/>
      <c r="P3730" s="5"/>
      <c r="Q3730" s="5"/>
      <c r="R3730" s="5"/>
      <c r="S3730" s="5"/>
      <c r="T3730" s="5"/>
      <c r="U3730" s="5"/>
      <c r="V3730" s="5"/>
      <c r="W3730" s="5"/>
      <c r="X3730" s="5"/>
      <c r="Y3730" s="5"/>
      <c r="Z3730" s="5"/>
    </row>
    <row r="3731" spans="1:26" ht="15.6" x14ac:dyDescent="0.3">
      <c r="A3731" s="19" t="s">
        <v>8</v>
      </c>
      <c r="B3731" s="26" t="s">
        <v>3715</v>
      </c>
      <c r="C3731" s="2" t="str">
        <f ca="1">IFERROR(__xludf.DUMMYFUNCTION("GOOGLETRANSLATE(B3731, ""bn"", ""en"")"),"Some of the idols of the temple were broken by miscreants. Talked to local and temple committee leaders. The police have launched an operation to arrest those involved.")</f>
        <v>Some of the idols of the temple were broken by miscreants. Talked to local and temple committee leaders. The police have launched an operation to arrest those involved.</v>
      </c>
      <c r="D3731" s="7"/>
      <c r="E3731" s="7"/>
      <c r="F3731" s="7"/>
      <c r="G3731" s="7"/>
      <c r="H3731" s="7"/>
      <c r="I3731" s="7"/>
      <c r="J3731" s="7"/>
      <c r="K3731" s="7"/>
      <c r="L3731" s="7"/>
      <c r="M3731" s="7"/>
      <c r="N3731" s="5"/>
      <c r="O3731" s="5"/>
      <c r="P3731" s="5"/>
      <c r="Q3731" s="5"/>
      <c r="R3731" s="5"/>
      <c r="S3731" s="5"/>
      <c r="T3731" s="5"/>
      <c r="U3731" s="5"/>
      <c r="V3731" s="5"/>
      <c r="W3731" s="5"/>
      <c r="X3731" s="5"/>
      <c r="Y3731" s="5"/>
      <c r="Z3731" s="5"/>
    </row>
    <row r="3732" spans="1:26" ht="15.6" x14ac:dyDescent="0.3">
      <c r="A3732" s="19" t="s">
        <v>5</v>
      </c>
      <c r="B3732" s="26" t="s">
        <v>3716</v>
      </c>
      <c r="C3732" s="2" t="str">
        <f ca="1">IFERROR(__xludf.DUMMYFUNCTION("GOOGLETRANSLATE(B3732, ""bn"", ""en"")"),"After brutally killing him, the masked militants allegedly cut off various parts of his body with chisels and axes. Others who tried to rescue Swami, i.e. Sadhvi Bhakti Mata, who was in overall charge of the Kalyan Ashram, Kishore Baba, Amritananda Baba a"&amp;"nd the guest guardian of an inmate of the school were also killed.")</f>
        <v>After brutally killing him, the masked militants allegedly cut off various parts of his body with chisels and axes. Others who tried to rescue Swami, i.e. Sadhvi Bhakti Mata, who was in overall charge of the Kalyan Ashram, Kishore Baba, Amritananda Baba and the guest guardian of an inmate of the school were also killed.</v>
      </c>
      <c r="D3732" s="5"/>
      <c r="E3732" s="5"/>
      <c r="F3732" s="5"/>
      <c r="G3732" s="5"/>
      <c r="H3732" s="5"/>
      <c r="I3732" s="5"/>
      <c r="J3732" s="5"/>
      <c r="K3732" s="5"/>
      <c r="L3732" s="5"/>
      <c r="M3732" s="5"/>
      <c r="N3732" s="5"/>
      <c r="O3732" s="5"/>
      <c r="P3732" s="5"/>
      <c r="Q3732" s="5"/>
      <c r="R3732" s="5"/>
      <c r="S3732" s="5"/>
      <c r="T3732" s="5"/>
      <c r="U3732" s="5"/>
      <c r="V3732" s="5"/>
      <c r="W3732" s="5"/>
      <c r="X3732" s="5"/>
      <c r="Y3732" s="5"/>
      <c r="Z3732" s="5"/>
    </row>
    <row r="3733" spans="1:26" ht="15.6" x14ac:dyDescent="0.3">
      <c r="A3733" s="18" t="s">
        <v>5</v>
      </c>
      <c r="B3733" s="25" t="s">
        <v>3717</v>
      </c>
      <c r="C3733" s="2" t="str">
        <f ca="1">IFERROR(__xludf.DUMMYFUNCTION("GOOGLETRANSLATE(B3733, ""bn"", ""en"")"),"A misguided young man commits suicide in the name of religion, where Islam describes suicide as a grave sin and death carries eternal punishment as stated in the hadith.")</f>
        <v>A misguided young man commits suicide in the name of religion, where Islam describes suicide as a grave sin and death carries eternal punishment as stated in the hadith.</v>
      </c>
      <c r="D3733" s="5"/>
      <c r="E3733" s="5"/>
      <c r="F3733" s="5"/>
      <c r="G3733" s="5"/>
      <c r="H3733" s="5"/>
      <c r="I3733" s="5"/>
      <c r="J3733" s="5"/>
      <c r="K3733" s="5"/>
      <c r="L3733" s="5"/>
      <c r="M3733" s="5"/>
      <c r="N3733" s="5"/>
      <c r="O3733" s="5"/>
      <c r="P3733" s="5"/>
      <c r="Q3733" s="5"/>
      <c r="R3733" s="5"/>
      <c r="S3733" s="5"/>
      <c r="T3733" s="5"/>
      <c r="U3733" s="5"/>
      <c r="V3733" s="5"/>
      <c r="W3733" s="5"/>
      <c r="X3733" s="5"/>
      <c r="Y3733" s="5"/>
      <c r="Z3733" s="5"/>
    </row>
    <row r="3734" spans="1:26" ht="15.6" x14ac:dyDescent="0.3">
      <c r="A3734" s="19" t="s">
        <v>5</v>
      </c>
      <c r="B3734" s="26" t="s">
        <v>3718</v>
      </c>
      <c r="C3734" s="2" t="str">
        <f ca="1">IFERROR(__xludf.DUMMYFUNCTION("GOOGLETRANSLATE(B3734, ""bn"", ""en"")"),"A painting from Bangladesh depicts the religious violence of the massacre of Huguenots by Catholics on St. Bartholomew's Day in 1572.")</f>
        <v>A painting from Bangladesh depicts the religious violence of the massacre of Huguenots by Catholics on St. Bartholomew's Day in 1572.</v>
      </c>
      <c r="D3734" s="7"/>
      <c r="E3734" s="7"/>
      <c r="F3734" s="7"/>
      <c r="G3734" s="7"/>
      <c r="H3734" s="7"/>
      <c r="I3734" s="7"/>
      <c r="J3734" s="7"/>
      <c r="K3734" s="5"/>
      <c r="L3734" s="5"/>
      <c r="M3734" s="5"/>
      <c r="N3734" s="5"/>
      <c r="O3734" s="5"/>
      <c r="P3734" s="5"/>
      <c r="Q3734" s="5"/>
      <c r="R3734" s="5"/>
      <c r="S3734" s="5"/>
      <c r="T3734" s="5"/>
      <c r="U3734" s="5"/>
      <c r="V3734" s="5"/>
      <c r="W3734" s="5"/>
      <c r="X3734" s="5"/>
      <c r="Y3734" s="5"/>
      <c r="Z3734" s="5"/>
    </row>
    <row r="3735" spans="1:26" ht="15.6" x14ac:dyDescent="0.3">
      <c r="A3735" s="18" t="s">
        <v>5</v>
      </c>
      <c r="B3735" s="24" t="s">
        <v>3719</v>
      </c>
      <c r="C3735" s="2" t="str">
        <f ca="1">IFERROR(__xludf.DUMMYFUNCTION("GOOGLETRANSLATE(B3735, ""bn"", ""en"")"),"Madrasah students were beaten to death in the streets by mobs because of their religious attire, becoming a brutal example of religious violence. Total killed: 12 people.")</f>
        <v>Madrasah students were beaten to death in the streets by mobs because of their religious attire, becoming a brutal example of religious violence. Total killed: 12 people.</v>
      </c>
      <c r="D3735" s="5"/>
      <c r="E3735" s="5"/>
      <c r="F3735" s="5"/>
      <c r="G3735" s="5"/>
      <c r="H3735" s="5"/>
      <c r="I3735" s="5"/>
      <c r="J3735" s="5"/>
      <c r="K3735" s="5"/>
      <c r="L3735" s="5"/>
      <c r="M3735" s="5"/>
      <c r="N3735" s="5"/>
      <c r="O3735" s="5"/>
      <c r="P3735" s="5"/>
      <c r="Q3735" s="5"/>
      <c r="R3735" s="5"/>
      <c r="S3735" s="5"/>
      <c r="T3735" s="5"/>
      <c r="U3735" s="5"/>
      <c r="V3735" s="5"/>
      <c r="W3735" s="5"/>
      <c r="X3735" s="5"/>
      <c r="Y3735" s="5"/>
      <c r="Z3735" s="5"/>
    </row>
    <row r="3736" spans="1:26" ht="15.6" x14ac:dyDescent="0.3">
      <c r="A3736" s="18" t="s">
        <v>23</v>
      </c>
      <c r="B3736" s="25" t="s">
        <v>3720</v>
      </c>
      <c r="C3736" s="2" t="str">
        <f ca="1">IFERROR(__xludf.DUMMYFUNCTION("GOOGLETRANSLATE(B3736, ""bn"", ""en"")"),"Across the border are Bangladeshi and anti-Muslim rioting terrorists who seek to rise to power by creating religious divisions by telling stories of ""minority persecution"" and trying to prove their involvement in the persecution. by doing")</f>
        <v>Across the border are Bangladeshi and anti-Muslim rioting terrorists who seek to rise to power by creating religious divisions by telling stories of "minority persecution" and trying to prove their involvement in the persecution. by doing</v>
      </c>
      <c r="D3736" s="6"/>
      <c r="E3736" s="6"/>
      <c r="F3736" s="6"/>
      <c r="G3736" s="2"/>
      <c r="H3736" s="5"/>
      <c r="I3736" s="5"/>
      <c r="J3736" s="5"/>
      <c r="K3736" s="5"/>
      <c r="L3736" s="5"/>
      <c r="M3736" s="5"/>
      <c r="N3736" s="5"/>
      <c r="O3736" s="5"/>
      <c r="P3736" s="5"/>
      <c r="Q3736" s="5"/>
      <c r="R3736" s="5"/>
      <c r="S3736" s="5"/>
      <c r="T3736" s="5"/>
      <c r="U3736" s="5"/>
      <c r="V3736" s="5"/>
      <c r="W3736" s="5"/>
      <c r="X3736" s="5"/>
      <c r="Y3736" s="5"/>
      <c r="Z3736" s="5"/>
    </row>
    <row r="3737" spans="1:26" ht="15.6" x14ac:dyDescent="0.3">
      <c r="A3737" s="19" t="s">
        <v>23</v>
      </c>
      <c r="B3737" s="26" t="s">
        <v>3721</v>
      </c>
      <c r="C3737" s="2" t="str">
        <f ca="1">IFERROR(__xludf.DUMMYFUNCTION("GOOGLETRANSLATE(B3737, ""bn"", ""en"")"),"But there are some people who do not believe in religion but believe in religious minority!!! They are secular. Who are more dangerous than corona.")</f>
        <v>But there are some people who do not believe in religion but believe in religious minority!!! They are secular. Who are more dangerous than corona.</v>
      </c>
      <c r="D3737" s="7"/>
      <c r="E3737" s="7"/>
      <c r="F3737" s="7"/>
      <c r="G3737" s="7"/>
      <c r="H3737" s="7"/>
      <c r="I3737" s="7"/>
      <c r="J3737" s="7"/>
      <c r="K3737" s="7"/>
      <c r="L3737" s="7"/>
      <c r="M3737" s="5"/>
      <c r="N3737" s="5"/>
      <c r="O3737" s="5"/>
      <c r="P3737" s="5"/>
      <c r="Q3737" s="5"/>
      <c r="R3737" s="5"/>
      <c r="S3737" s="5"/>
      <c r="T3737" s="5"/>
      <c r="U3737" s="5"/>
      <c r="V3737" s="5"/>
      <c r="W3737" s="5"/>
      <c r="X3737" s="5"/>
      <c r="Y3737" s="5"/>
      <c r="Z3737" s="5"/>
    </row>
    <row r="3738" spans="1:26" ht="15.6" x14ac:dyDescent="0.3">
      <c r="A3738" s="18" t="s">
        <v>5</v>
      </c>
      <c r="B3738" s="24" t="s">
        <v>3722</v>
      </c>
      <c r="C3738" s="2" t="str">
        <f ca="1">IFERROR(__xludf.DUMMYFUNCTION("GOOGLETRANSLATE(B3738, ""bn"", ""en"")"),"Police opened fire during a temple riot, killing 14 people, raising the level of religious violence.")</f>
        <v>Police opened fire during a temple riot, killing 14 people, raising the level of religious violence.</v>
      </c>
      <c r="D3738" s="5"/>
      <c r="E3738" s="5"/>
      <c r="F3738" s="5"/>
      <c r="G3738" s="5"/>
      <c r="H3738" s="5"/>
      <c r="I3738" s="5"/>
      <c r="J3738" s="5"/>
      <c r="K3738" s="5"/>
      <c r="L3738" s="5"/>
      <c r="M3738" s="5"/>
      <c r="N3738" s="5"/>
      <c r="O3738" s="5"/>
      <c r="P3738" s="5"/>
      <c r="Q3738" s="5"/>
      <c r="R3738" s="5"/>
      <c r="S3738" s="5"/>
      <c r="T3738" s="5"/>
      <c r="U3738" s="5"/>
      <c r="V3738" s="5"/>
      <c r="W3738" s="5"/>
      <c r="X3738" s="5"/>
      <c r="Y3738" s="5"/>
      <c r="Z3738" s="5"/>
    </row>
    <row r="3739" spans="1:26" ht="15.6" x14ac:dyDescent="0.3">
      <c r="A3739" s="18" t="s">
        <v>8</v>
      </c>
      <c r="B3739" s="25" t="s">
        <v>3723</v>
      </c>
      <c r="C3739" s="2" t="str">
        <f ca="1">IFERROR(__xludf.DUMMYFUNCTION("GOOGLETRANSLATE(B3739, ""bn"", ""en"")"),"Bangladesh Hindu Buddhist Christian Unity Parishad has complained that after August 4, there have been a total of 1,769 communal attacks, vandalism and looting incidents on minorities in the country.")</f>
        <v>Bangladesh Hindu Buddhist Christian Unity Parishad has complained that after August 4, there have been a total of 1,769 communal attacks, vandalism and looting incidents on minorities in the country.</v>
      </c>
      <c r="D3739" s="2"/>
      <c r="E3739" s="2"/>
      <c r="F3739" s="2"/>
      <c r="G3739" s="2"/>
      <c r="H3739" s="3"/>
      <c r="I3739" s="3"/>
      <c r="J3739" s="3"/>
      <c r="K3739" s="3"/>
      <c r="L3739" s="3"/>
      <c r="M3739" s="3"/>
      <c r="N3739" s="3"/>
      <c r="O3739" s="3"/>
      <c r="P3739" s="3"/>
      <c r="Q3739" s="3"/>
      <c r="R3739" s="3"/>
      <c r="S3739" s="3"/>
      <c r="T3739" s="3"/>
      <c r="U3739" s="3"/>
      <c r="V3739" s="3"/>
      <c r="W3739" s="3"/>
      <c r="X3739" s="3"/>
      <c r="Y3739" s="3"/>
      <c r="Z3739" s="3"/>
    </row>
    <row r="3740" spans="1:26" ht="15.6" x14ac:dyDescent="0.3">
      <c r="A3740" s="19" t="s">
        <v>3</v>
      </c>
      <c r="B3740" s="26" t="s">
        <v>3724</v>
      </c>
      <c r="C3740" s="2" t="str">
        <f ca="1">IFERROR(__xludf.DUMMYFUNCTION("GOOGLETRANSLATE(B3740, ""bn"", ""en"")"),"Sir, please make a separate series about Qur'an about Allah, life in the eyes of Islam, research and share with us. We will also benefit, we want to be the people of the Qur'an, help us, insha'Allah, may Allah give you a lot of mercy. Our faith will be st"&amp;"rengthened if we discuss the Qur'an in more detail.")</f>
        <v>Sir, please make a separate series about Qur'an about Allah, life in the eyes of Islam, research and share with us. We will also benefit, we want to be the people of the Qur'an, help us, insha'Allah, may Allah give you a lot of mercy. Our faith will be strengthened if we discuss the Qur'an in more detail.</v>
      </c>
      <c r="D3740" s="7"/>
      <c r="E3740" s="7"/>
      <c r="F3740" s="7"/>
      <c r="G3740" s="7"/>
      <c r="H3740" s="7"/>
      <c r="I3740" s="7"/>
      <c r="J3740" s="7"/>
      <c r="K3740" s="7"/>
      <c r="L3740" s="7"/>
      <c r="M3740" s="7"/>
      <c r="N3740" s="7"/>
      <c r="O3740" s="7"/>
      <c r="P3740" s="7"/>
      <c r="Q3740" s="5"/>
      <c r="R3740" s="5"/>
      <c r="S3740" s="5"/>
      <c r="T3740" s="5"/>
      <c r="U3740" s="5"/>
      <c r="V3740" s="5"/>
      <c r="W3740" s="5"/>
      <c r="X3740" s="5"/>
      <c r="Y3740" s="5"/>
      <c r="Z3740" s="5"/>
    </row>
    <row r="3741" spans="1:26" ht="15.6" x14ac:dyDescent="0.3">
      <c r="A3741" s="18" t="s">
        <v>23</v>
      </c>
      <c r="B3741" s="25" t="s">
        <v>3725</v>
      </c>
      <c r="C3741" s="2" t="str">
        <f ca="1">IFERROR(__xludf.DUMMYFUNCTION("GOOGLETRANSLATE(B3741, ""bn"", ""en"")"),"Allah, I do not know what you will punish these infidels. Allah, punish those who disrespect your Quran in such a way that no one else will do such a thing in the future.")</f>
        <v>Allah, I do not know what you will punish these infidels. Allah, punish those who disrespect your Quran in such a way that no one else will do such a thing in the future.</v>
      </c>
      <c r="D3741" s="2"/>
      <c r="E3741" s="2"/>
      <c r="F3741" s="2"/>
      <c r="G3741" s="2"/>
      <c r="H3741" s="3"/>
      <c r="I3741" s="3"/>
      <c r="J3741" s="3"/>
      <c r="K3741" s="3"/>
      <c r="L3741" s="3"/>
      <c r="M3741" s="3"/>
      <c r="N3741" s="3"/>
      <c r="O3741" s="3"/>
      <c r="P3741" s="3"/>
      <c r="Q3741" s="3"/>
      <c r="R3741" s="3"/>
      <c r="S3741" s="3"/>
      <c r="T3741" s="3"/>
      <c r="U3741" s="3"/>
      <c r="V3741" s="3"/>
      <c r="W3741" s="3"/>
      <c r="X3741" s="3"/>
      <c r="Y3741" s="3"/>
      <c r="Z3741" s="3"/>
    </row>
    <row r="3742" spans="1:26" ht="15.6" x14ac:dyDescent="0.3">
      <c r="A3742" s="18" t="s">
        <v>23</v>
      </c>
      <c r="B3742" s="25" t="s">
        <v>3726</v>
      </c>
      <c r="C3742" s="2" t="str">
        <f ca="1">IFERROR(__xludf.DUMMYFUNCTION("GOOGLETRANSLATE(B3742, ""bn"", ""en"")"),"These trolls who drag religion here and there in words don't remember that it is Sunnah to marry an older woman, Sunnah to marry a divorced woman, Sunnah to marry a widowed woman. This is no laughing matter.")</f>
        <v>These trolls who drag religion here and there in words don't remember that it is Sunnah to marry an older woman, Sunnah to marry a divorced woman, Sunnah to marry a widowed woman. This is no laughing matter.</v>
      </c>
      <c r="D3742" s="6"/>
      <c r="E3742" s="6"/>
      <c r="F3742" s="6"/>
      <c r="G3742" s="2"/>
      <c r="H3742" s="5"/>
      <c r="I3742" s="5"/>
      <c r="J3742" s="5"/>
      <c r="K3742" s="5"/>
      <c r="L3742" s="5"/>
      <c r="M3742" s="5"/>
      <c r="N3742" s="5"/>
      <c r="O3742" s="5"/>
      <c r="P3742" s="5"/>
      <c r="Q3742" s="5"/>
      <c r="R3742" s="5"/>
      <c r="S3742" s="5"/>
      <c r="T3742" s="5"/>
      <c r="U3742" s="5"/>
      <c r="V3742" s="5"/>
      <c r="W3742" s="5"/>
      <c r="X3742" s="5"/>
      <c r="Y3742" s="5"/>
      <c r="Z3742" s="5"/>
    </row>
    <row r="3743" spans="1:26" ht="15.6" x14ac:dyDescent="0.3">
      <c r="A3743" s="19" t="s">
        <v>3</v>
      </c>
      <c r="B3743" s="26" t="s">
        <v>3727</v>
      </c>
      <c r="C3743" s="2" t="str">
        <f ca="1">IFERROR(__xludf.DUMMYFUNCTION("GOOGLETRANSLATE(B3743, ""bn"", ""en"")"),"The term 'Kathin Cheebar Dan' has been in use in the town since the time of Gautama Buddha. The name of the event is because the work of cutting cotton, making yarn, dyeing, making each cheebar following various rituals and rules is very difficult in just"&amp;" 24 hours.")</f>
        <v>The term 'Kathin Cheebar Dan' has been in use in the town since the time of Gautama Buddha. The name of the event is because the work of cutting cotton, making yarn, dyeing, making each cheebar following various rituals and rules is very difficult in just 24 hours.</v>
      </c>
      <c r="D3743" s="5"/>
      <c r="E3743" s="5"/>
      <c r="F3743" s="5"/>
      <c r="G3743" s="5"/>
      <c r="H3743" s="5"/>
      <c r="I3743" s="5"/>
      <c r="J3743" s="5"/>
      <c r="K3743" s="5"/>
      <c r="L3743" s="5"/>
      <c r="M3743" s="5"/>
      <c r="N3743" s="5"/>
      <c r="O3743" s="5"/>
      <c r="P3743" s="5"/>
      <c r="Q3743" s="5"/>
      <c r="R3743" s="5"/>
      <c r="S3743" s="5"/>
      <c r="T3743" s="5"/>
      <c r="U3743" s="5"/>
      <c r="V3743" s="5"/>
      <c r="W3743" s="5"/>
      <c r="X3743" s="5"/>
      <c r="Y3743" s="5"/>
      <c r="Z3743" s="5"/>
    </row>
    <row r="3744" spans="1:26" ht="15.6" x14ac:dyDescent="0.3">
      <c r="A3744" s="18" t="s">
        <v>8</v>
      </c>
      <c r="B3744" s="25" t="s">
        <v>3728</v>
      </c>
      <c r="C3744" s="2" t="str">
        <f ca="1">IFERROR(__xludf.DUMMYFUNCTION("GOOGLETRANSLATE(B3744, ""bn"", ""en"")"),"The followers of the Prophet have been subjected to inhumane torture on account of their religious identity and their religious sentiments have been hurt by isolation from the society.")</f>
        <v>The followers of the Prophet have been subjected to inhumane torture on account of their religious identity and their religious sentiments have been hurt by isolation from the society.</v>
      </c>
      <c r="D3744" s="5"/>
      <c r="E3744" s="5"/>
      <c r="F3744" s="5"/>
      <c r="G3744" s="5"/>
      <c r="H3744" s="5"/>
      <c r="I3744" s="5"/>
      <c r="J3744" s="5"/>
      <c r="K3744" s="5"/>
      <c r="L3744" s="5"/>
      <c r="M3744" s="5"/>
      <c r="N3744" s="5"/>
      <c r="O3744" s="5"/>
      <c r="P3744" s="5"/>
      <c r="Q3744" s="5"/>
      <c r="R3744" s="5"/>
      <c r="S3744" s="5"/>
      <c r="T3744" s="5"/>
      <c r="U3744" s="5"/>
      <c r="V3744" s="5"/>
      <c r="W3744" s="5"/>
      <c r="X3744" s="5"/>
      <c r="Y3744" s="5"/>
      <c r="Z3744" s="5"/>
    </row>
    <row r="3745" spans="1:26" ht="15.6" x14ac:dyDescent="0.3">
      <c r="A3745" s="19" t="s">
        <v>3</v>
      </c>
      <c r="B3745" s="26" t="s">
        <v>3729</v>
      </c>
      <c r="C3745" s="2" t="str">
        <f ca="1">IFERROR(__xludf.DUMMYFUNCTION("GOOGLETRANSLATE(B3745, ""bn"", ""en"")"),"Various gatherings and Mahafil-e-Naat are organized on the occasion of the holy night, while Ulama and religious scholars present the teachings of Islam in their sermons.")</f>
        <v>Various gatherings and Mahafil-e-Naat are organized on the occasion of the holy night, while Ulama and religious scholars present the teachings of Islam in their sermons.</v>
      </c>
      <c r="D3745" s="5"/>
      <c r="E3745" s="5"/>
      <c r="F3745" s="5"/>
      <c r="G3745" s="5"/>
      <c r="H3745" s="5"/>
      <c r="I3745" s="5"/>
      <c r="J3745" s="5"/>
      <c r="K3745" s="5"/>
      <c r="L3745" s="5"/>
      <c r="M3745" s="5"/>
      <c r="N3745" s="5"/>
      <c r="O3745" s="5"/>
      <c r="P3745" s="5"/>
      <c r="Q3745" s="5"/>
      <c r="R3745" s="5"/>
      <c r="S3745" s="5"/>
      <c r="T3745" s="5"/>
      <c r="U3745" s="5"/>
      <c r="V3745" s="5"/>
      <c r="W3745" s="5"/>
      <c r="X3745" s="5"/>
      <c r="Y3745" s="5"/>
      <c r="Z3745" s="5"/>
    </row>
    <row r="3746" spans="1:26" ht="15.6" x14ac:dyDescent="0.3">
      <c r="A3746" s="18" t="s">
        <v>3</v>
      </c>
      <c r="B3746" s="25" t="s">
        <v>3730</v>
      </c>
      <c r="C3746" s="2" t="str">
        <f ca="1">IFERROR(__xludf.DUMMYFUNCTION("GOOGLETRANSLATE(B3746, ""bn"", ""en"")"),"In this world, the believer should live as if he were on a journey and packing for departure.")</f>
        <v>In this world, the believer should live as if he were on a journey and packing for departure.</v>
      </c>
      <c r="D3746" s="5"/>
      <c r="E3746" s="5"/>
      <c r="F3746" s="5"/>
      <c r="G3746" s="5"/>
      <c r="H3746" s="5"/>
      <c r="I3746" s="5"/>
      <c r="J3746" s="5"/>
      <c r="K3746" s="5"/>
      <c r="L3746" s="5"/>
      <c r="M3746" s="5"/>
      <c r="N3746" s="5"/>
      <c r="O3746" s="5"/>
      <c r="P3746" s="5"/>
      <c r="Q3746" s="5"/>
      <c r="R3746" s="5"/>
      <c r="S3746" s="5"/>
      <c r="T3746" s="5"/>
      <c r="U3746" s="5"/>
      <c r="V3746" s="5"/>
      <c r="W3746" s="5"/>
      <c r="X3746" s="5"/>
      <c r="Y3746" s="5"/>
      <c r="Z3746" s="5"/>
    </row>
    <row r="3747" spans="1:26" ht="15.6" x14ac:dyDescent="0.3">
      <c r="A3747" s="19" t="s">
        <v>8</v>
      </c>
      <c r="B3747" s="26" t="s">
        <v>3731</v>
      </c>
      <c r="C3747" s="2" t="str">
        <f ca="1">IFERROR(__xludf.DUMMYFUNCTION("GOOGLETRANSLATE(B3747, ""bn"", ""en"")"),"They ransacked all the Hindu houses of the entire village, including the residences of Haripad Chowdhury and Bimal Bhattacharya. On February 17, Muslim goons attacked Hindus from house to house. They dragged the Brahmins to pieces, trampled them, forcibly"&amp;" converted them to Islam.")</f>
        <v>They ransacked all the Hindu houses of the entire village, including the residences of Haripad Chowdhury and Bimal Bhattacharya. On February 17, Muslim goons attacked Hindus from house to house. They dragged the Brahmins to pieces, trampled them, forcibly converted them to Islam.</v>
      </c>
      <c r="D3747" s="7"/>
      <c r="E3747" s="5"/>
      <c r="F3747" s="5"/>
      <c r="G3747" s="5"/>
      <c r="H3747" s="5"/>
      <c r="I3747" s="5"/>
      <c r="J3747" s="5"/>
      <c r="K3747" s="5"/>
      <c r="L3747" s="5"/>
      <c r="M3747" s="5"/>
      <c r="N3747" s="5"/>
      <c r="O3747" s="5"/>
      <c r="P3747" s="5"/>
      <c r="Q3747" s="5"/>
      <c r="R3747" s="5"/>
      <c r="S3747" s="5"/>
      <c r="T3747" s="5"/>
      <c r="U3747" s="5"/>
      <c r="V3747" s="5"/>
      <c r="W3747" s="5"/>
      <c r="X3747" s="5"/>
      <c r="Y3747" s="5"/>
      <c r="Z3747" s="5"/>
    </row>
    <row r="3748" spans="1:26" ht="15.6" x14ac:dyDescent="0.3">
      <c r="A3748" s="19" t="s">
        <v>3</v>
      </c>
      <c r="B3748" s="26" t="s">
        <v>3732</v>
      </c>
      <c r="C3748" s="2" t="str">
        <f ca="1">IFERROR(__xludf.DUMMYFUNCTION("GOOGLETRANSLATE(B3748, ""bn"", ""en"")"),"I feel a bit more because my father's friends are almost Hindu, my friends are almost Hindu")</f>
        <v>I feel a bit more because my father's friends are almost Hindu, my friends are almost Hindu</v>
      </c>
      <c r="D3748" s="5"/>
      <c r="E3748" s="5"/>
      <c r="F3748" s="5"/>
      <c r="G3748" s="5"/>
      <c r="H3748" s="5"/>
      <c r="I3748" s="5"/>
      <c r="J3748" s="5"/>
      <c r="K3748" s="5"/>
      <c r="L3748" s="5"/>
      <c r="M3748" s="5"/>
      <c r="N3748" s="5"/>
      <c r="O3748" s="5"/>
      <c r="P3748" s="5"/>
      <c r="Q3748" s="5"/>
      <c r="R3748" s="5"/>
      <c r="S3748" s="5"/>
      <c r="T3748" s="5"/>
      <c r="U3748" s="5"/>
      <c r="V3748" s="5"/>
      <c r="W3748" s="5"/>
      <c r="X3748" s="5"/>
      <c r="Y3748" s="5"/>
      <c r="Z3748" s="5"/>
    </row>
    <row r="3749" spans="1:26" ht="15.6" x14ac:dyDescent="0.3">
      <c r="A3749" s="18" t="s">
        <v>3</v>
      </c>
      <c r="B3749" s="25" t="s">
        <v>3733</v>
      </c>
      <c r="C3749" s="2" t="str">
        <f ca="1">IFERROR(__xludf.DUMMYFUNCTION("GOOGLETRANSLATE(B3749, ""bn"", ""en"")"),"Despite the general personal commitment of Muslims in Bangladesh to Islam, the observance of Islamic customs varies according to social status, locality and personal considerations.")</f>
        <v>Despite the general personal commitment of Muslims in Bangladesh to Islam, the observance of Islamic customs varies according to social status, locality and personal considerations.</v>
      </c>
      <c r="D3749" s="5"/>
      <c r="E3749" s="5"/>
      <c r="F3749" s="5"/>
      <c r="G3749" s="5"/>
      <c r="H3749" s="5"/>
      <c r="I3749" s="5"/>
      <c r="J3749" s="5"/>
      <c r="K3749" s="5"/>
      <c r="L3749" s="5"/>
      <c r="M3749" s="5"/>
      <c r="N3749" s="5"/>
      <c r="O3749" s="5"/>
      <c r="P3749" s="5"/>
      <c r="Q3749" s="5"/>
      <c r="R3749" s="5"/>
      <c r="S3749" s="5"/>
      <c r="T3749" s="5"/>
      <c r="U3749" s="5"/>
      <c r="V3749" s="5"/>
      <c r="W3749" s="5"/>
      <c r="X3749" s="5"/>
      <c r="Y3749" s="5"/>
      <c r="Z3749" s="5"/>
    </row>
    <row r="3750" spans="1:26" ht="15.6" x14ac:dyDescent="0.3">
      <c r="A3750" s="18" t="s">
        <v>5</v>
      </c>
      <c r="B3750" s="25" t="s">
        <v>3734</v>
      </c>
      <c r="C3750" s="2" t="str">
        <f ca="1">IFERROR(__xludf.DUMMYFUNCTION("GOOGLETRANSLATE(B3750, ""bn"", ""en"")"),"In the name of religious persecution, many innocent people were killed by slitting their throats, some died on hunger strike, some chose the path of voluntary death; Vikram Sampath describes such sacrifices in his second volume.")</f>
        <v>In the name of religious persecution, many innocent people were killed by slitting their throats, some died on hunger strike, some chose the path of voluntary death; Vikram Sampath describes such sacrifices in his second volume.</v>
      </c>
      <c r="D3750" s="5"/>
      <c r="E3750" s="5"/>
      <c r="F3750" s="5"/>
      <c r="G3750" s="5"/>
      <c r="H3750" s="5"/>
      <c r="I3750" s="5"/>
      <c r="J3750" s="5"/>
      <c r="K3750" s="5"/>
      <c r="L3750" s="5"/>
      <c r="M3750" s="5"/>
      <c r="N3750" s="5"/>
      <c r="O3750" s="5"/>
      <c r="P3750" s="5"/>
      <c r="Q3750" s="5"/>
      <c r="R3750" s="5"/>
      <c r="S3750" s="5"/>
      <c r="T3750" s="5"/>
      <c r="U3750" s="5"/>
      <c r="V3750" s="5"/>
      <c r="W3750" s="5"/>
      <c r="X3750" s="5"/>
      <c r="Y3750" s="5"/>
      <c r="Z3750" s="5"/>
    </row>
    <row r="3751" spans="1:26" ht="15.6" x14ac:dyDescent="0.3">
      <c r="A3751" s="19" t="s">
        <v>8</v>
      </c>
      <c r="B3751" s="26" t="s">
        <v>3735</v>
      </c>
      <c r="C3751" s="2" t="str">
        <f ca="1">IFERROR(__xludf.DUMMYFUNCTION("GOOGLETRANSLATE(B3751, ""bn"", ""en"")"),"On October 8, miscreants vandalized all the idols of the under-construction temporary puja mandap in Sundarganj, Gaibandha.")</f>
        <v>On October 8, miscreants vandalized all the idols of the under-construction temporary puja mandap in Sundarganj, Gaibandha.</v>
      </c>
      <c r="D3751" s="7"/>
      <c r="E3751" s="7"/>
      <c r="F3751" s="7"/>
      <c r="G3751" s="7"/>
      <c r="H3751" s="7"/>
      <c r="I3751" s="5"/>
      <c r="J3751" s="5"/>
      <c r="K3751" s="5"/>
      <c r="L3751" s="5"/>
      <c r="M3751" s="5"/>
      <c r="N3751" s="5"/>
      <c r="O3751" s="5"/>
      <c r="P3751" s="5"/>
      <c r="Q3751" s="5"/>
      <c r="R3751" s="5"/>
      <c r="S3751" s="5"/>
      <c r="T3751" s="5"/>
      <c r="U3751" s="5"/>
      <c r="V3751" s="5"/>
      <c r="W3751" s="5"/>
      <c r="X3751" s="5"/>
      <c r="Y3751" s="5"/>
      <c r="Z3751" s="5"/>
    </row>
    <row r="3752" spans="1:26" ht="15.6" x14ac:dyDescent="0.3">
      <c r="A3752" s="19" t="s">
        <v>23</v>
      </c>
      <c r="B3752" s="26" t="s">
        <v>3736</v>
      </c>
      <c r="C3752" s="2" t="str">
        <f ca="1">IFERROR(__xludf.DUMMYFUNCTION("GOOGLETRANSLATE(B3752, ""bn"", ""en"")"),"Communal terrorism was the same then, now it has added a new element – ​​militancy.")</f>
        <v>Communal terrorism was the same then, now it has added a new element – ​​militancy.</v>
      </c>
      <c r="D3752" s="7"/>
      <c r="E3752" s="7"/>
      <c r="F3752" s="5"/>
      <c r="G3752" s="5"/>
      <c r="H3752" s="5"/>
      <c r="I3752" s="5"/>
      <c r="J3752" s="5"/>
      <c r="K3752" s="5"/>
      <c r="L3752" s="5"/>
      <c r="M3752" s="5"/>
      <c r="N3752" s="5"/>
      <c r="O3752" s="5"/>
      <c r="P3752" s="5"/>
      <c r="Q3752" s="5"/>
      <c r="R3752" s="5"/>
      <c r="S3752" s="5"/>
      <c r="T3752" s="5"/>
      <c r="U3752" s="5"/>
      <c r="V3752" s="5"/>
      <c r="W3752" s="5"/>
      <c r="X3752" s="5"/>
      <c r="Y3752" s="5"/>
      <c r="Z3752" s="5"/>
    </row>
    <row r="3753" spans="1:26" ht="15.6" x14ac:dyDescent="0.3">
      <c r="A3753" s="18" t="s">
        <v>5</v>
      </c>
      <c r="B3753" s="24" t="s">
        <v>3737</v>
      </c>
      <c r="C3753" s="2" t="str">
        <f ca="1">IFERROR(__xludf.DUMMYFUNCTION("GOOGLETRANSLATE(B3753, ""bn"", ""en"")"),"45 people were killed in clashes between religious groups in Kishoreganj. As the police failed to quell the violence, the government ordered everyone to remain calm. Many minority families leave the village for safety.")</f>
        <v>45 people were killed in clashes between religious groups in Kishoreganj. As the police failed to quell the violence, the government ordered everyone to remain calm. Many minority families leave the village for safety.</v>
      </c>
      <c r="D3753" s="5"/>
      <c r="E3753" s="5"/>
      <c r="F3753" s="5"/>
      <c r="G3753" s="5"/>
      <c r="H3753" s="5"/>
      <c r="I3753" s="5"/>
      <c r="J3753" s="5"/>
      <c r="K3753" s="5"/>
      <c r="L3753" s="5"/>
      <c r="M3753" s="5"/>
      <c r="N3753" s="5"/>
      <c r="O3753" s="5"/>
      <c r="P3753" s="5"/>
      <c r="Q3753" s="5"/>
      <c r="R3753" s="5"/>
      <c r="S3753" s="5"/>
      <c r="T3753" s="5"/>
      <c r="U3753" s="5"/>
      <c r="V3753" s="5"/>
      <c r="W3753" s="5"/>
      <c r="X3753" s="5"/>
      <c r="Y3753" s="5"/>
      <c r="Z3753" s="5"/>
    </row>
    <row r="3754" spans="1:26" ht="15.6" x14ac:dyDescent="0.3">
      <c r="A3754" s="18" t="s">
        <v>5</v>
      </c>
      <c r="B3754" s="24" t="s">
        <v>3738</v>
      </c>
      <c r="C3754" s="2" t="str">
        <f ca="1">IFERROR(__xludf.DUMMYFUNCTION("GOOGLETRANSLATE(B3754, ""bn"", ""en"")"),"At least 37 people were killed in an attack on a minority community in Kishoreganj due to religious violence.")</f>
        <v>At least 37 people were killed in an attack on a minority community in Kishoreganj due to religious violence.</v>
      </c>
      <c r="D3754" s="5"/>
      <c r="E3754" s="5"/>
      <c r="F3754" s="5"/>
      <c r="G3754" s="5"/>
      <c r="H3754" s="5"/>
      <c r="I3754" s="5"/>
      <c r="J3754" s="5"/>
      <c r="K3754" s="5"/>
      <c r="L3754" s="5"/>
      <c r="M3754" s="5"/>
      <c r="N3754" s="5"/>
      <c r="O3754" s="5"/>
      <c r="P3754" s="5"/>
      <c r="Q3754" s="5"/>
      <c r="R3754" s="5"/>
      <c r="S3754" s="5"/>
      <c r="T3754" s="5"/>
      <c r="U3754" s="5"/>
      <c r="V3754" s="5"/>
      <c r="W3754" s="5"/>
      <c r="X3754" s="5"/>
      <c r="Y3754" s="5"/>
      <c r="Z3754" s="5"/>
    </row>
    <row r="3755" spans="1:26" ht="15.6" x14ac:dyDescent="0.3">
      <c r="A3755" s="18" t="s">
        <v>5</v>
      </c>
      <c r="B3755" s="24" t="s">
        <v>3739</v>
      </c>
      <c r="C3755" s="2" t="str">
        <f ca="1">IFERROR(__xludf.DUMMYFUNCTION("GOOGLETRANSLATE(B3755, ""bn"", ""en"")"),"In Sylhet, 44 people were killed in clashes due to religious hatred. The police failed to control the situation but the government called for calm. Many minority families seek shelter for safety.")</f>
        <v>In Sylhet, 44 people were killed in clashes due to religious hatred. The police failed to control the situation but the government called for calm. Many minority families seek shelter for safety.</v>
      </c>
      <c r="D3755" s="5"/>
      <c r="E3755" s="5"/>
      <c r="F3755" s="5"/>
      <c r="G3755" s="5"/>
      <c r="H3755" s="5"/>
      <c r="I3755" s="5"/>
      <c r="J3755" s="5"/>
      <c r="K3755" s="5"/>
      <c r="L3755" s="5"/>
      <c r="M3755" s="5"/>
      <c r="N3755" s="5"/>
      <c r="O3755" s="5"/>
      <c r="P3755" s="5"/>
      <c r="Q3755" s="5"/>
      <c r="R3755" s="5"/>
      <c r="S3755" s="5"/>
      <c r="T3755" s="5"/>
      <c r="U3755" s="5"/>
      <c r="V3755" s="5"/>
      <c r="W3755" s="5"/>
      <c r="X3755" s="5"/>
      <c r="Y3755" s="5"/>
      <c r="Z3755" s="5"/>
    </row>
    <row r="3756" spans="1:26" ht="15.6" x14ac:dyDescent="0.3">
      <c r="A3756" s="18" t="s">
        <v>3</v>
      </c>
      <c r="B3756" s="25" t="s">
        <v>3740</v>
      </c>
      <c r="C3756" s="2" t="str">
        <f ca="1">IFERROR(__xludf.DUMMYFUNCTION("GOOGLETRANSLATE(B3756, ""bn"", ""en"")"),"If a person wants to enter the path of religion, if you do not want to support him, then give him the opportunity to follow his own path.")</f>
        <v>If a person wants to enter the path of religion, if you do not want to support him, then give him the opportunity to follow his own path.</v>
      </c>
      <c r="D3756" s="5"/>
      <c r="E3756" s="5"/>
      <c r="F3756" s="5"/>
      <c r="G3756" s="5"/>
      <c r="H3756" s="5"/>
      <c r="I3756" s="5"/>
      <c r="J3756" s="5"/>
      <c r="K3756" s="5"/>
      <c r="L3756" s="5"/>
      <c r="M3756" s="5"/>
      <c r="N3756" s="5"/>
      <c r="O3756" s="5"/>
      <c r="P3756" s="5"/>
      <c r="Q3756" s="5"/>
      <c r="R3756" s="5"/>
      <c r="S3756" s="5"/>
      <c r="T3756" s="5"/>
      <c r="U3756" s="5"/>
      <c r="V3756" s="5"/>
      <c r="W3756" s="5"/>
      <c r="X3756" s="5"/>
      <c r="Y3756" s="5"/>
      <c r="Z3756" s="5"/>
    </row>
    <row r="3757" spans="1:26" ht="15.6" x14ac:dyDescent="0.3">
      <c r="A3757" s="19" t="s">
        <v>3</v>
      </c>
      <c r="B3757" s="26" t="s">
        <v>3741</v>
      </c>
      <c r="C3757" s="2" t="str">
        <f ca="1">IFERROR(__xludf.DUMMYFUNCTION("GOOGLETRANSLATE(B3757, ""bn"", ""en"")"),"Religion is the guide for the spiritual development of man, which calls all towards humanity")</f>
        <v>Religion is the guide for the spiritual development of man, which calls all towards humanity</v>
      </c>
      <c r="D3757" s="7"/>
      <c r="E3757" s="7"/>
      <c r="F3757" s="5"/>
      <c r="G3757" s="5"/>
      <c r="H3757" s="5"/>
      <c r="I3757" s="5"/>
      <c r="J3757" s="5"/>
      <c r="K3757" s="5"/>
      <c r="L3757" s="5"/>
      <c r="M3757" s="5"/>
      <c r="N3757" s="5"/>
      <c r="O3757" s="5"/>
      <c r="P3757" s="5"/>
      <c r="Q3757" s="5"/>
      <c r="R3757" s="5"/>
      <c r="S3757" s="5"/>
      <c r="T3757" s="5"/>
      <c r="U3757" s="5"/>
      <c r="V3757" s="5"/>
      <c r="W3757" s="5"/>
      <c r="X3757" s="5"/>
      <c r="Y3757" s="5"/>
      <c r="Z3757" s="5"/>
    </row>
    <row r="3758" spans="1:26" ht="15.6" x14ac:dyDescent="0.3">
      <c r="A3758" s="18" t="s">
        <v>8</v>
      </c>
      <c r="B3758" s="25" t="s">
        <v>3742</v>
      </c>
      <c r="C3758" s="2" t="str">
        <f ca="1">IFERROR(__xludf.DUMMYFUNCTION("GOOGLETRANSLATE(B3758, ""bn"", ""en"")"),"The 10th general election was held on 5 January 2014, after the vote, opposition party activists and supporters started attacking the minority Bengali Hindus, creating communal riots.")</f>
        <v>The 10th general election was held on 5 January 2014, after the vote, opposition party activists and supporters started attacking the minority Bengali Hindus, creating communal riots.</v>
      </c>
      <c r="D3758" s="2"/>
      <c r="E3758" s="2"/>
      <c r="F3758" s="2"/>
      <c r="G3758" s="2"/>
      <c r="H3758" s="5"/>
      <c r="I3758" s="5"/>
      <c r="J3758" s="5"/>
      <c r="K3758" s="5"/>
      <c r="L3758" s="5"/>
      <c r="M3758" s="5"/>
      <c r="N3758" s="5"/>
      <c r="O3758" s="5"/>
      <c r="P3758" s="5"/>
      <c r="Q3758" s="5"/>
      <c r="R3758" s="5"/>
      <c r="S3758" s="5"/>
      <c r="T3758" s="5"/>
      <c r="U3758" s="5"/>
      <c r="V3758" s="5"/>
      <c r="W3758" s="5"/>
      <c r="X3758" s="5"/>
      <c r="Y3758" s="5"/>
      <c r="Z3758" s="5"/>
    </row>
    <row r="3759" spans="1:26" ht="15.6" x14ac:dyDescent="0.3">
      <c r="A3759" s="18" t="s">
        <v>8</v>
      </c>
      <c r="B3759" s="25" t="s">
        <v>3743</v>
      </c>
      <c r="C3759" s="2" t="str">
        <f ca="1">IFERROR(__xludf.DUMMYFUNCTION("GOOGLETRANSLATE(B3759, ""bn"", ""en"")"),"Christian religious places of worship were attacked, looted, burnt and women abducted, religious fanatics ran riot till evening and left the place after looting.")</f>
        <v>Christian religious places of worship were attacked, looted, burnt and women abducted, religious fanatics ran riot till evening and left the place after looting.</v>
      </c>
      <c r="D3759" s="5"/>
      <c r="E3759" s="5"/>
      <c r="F3759" s="5"/>
      <c r="G3759" s="5"/>
      <c r="H3759" s="5"/>
      <c r="I3759" s="5"/>
      <c r="J3759" s="5"/>
      <c r="K3759" s="5"/>
      <c r="L3759" s="5"/>
      <c r="M3759" s="5"/>
      <c r="N3759" s="5"/>
      <c r="O3759" s="5"/>
      <c r="P3759" s="5"/>
      <c r="Q3759" s="5"/>
      <c r="R3759" s="5"/>
      <c r="S3759" s="5"/>
      <c r="T3759" s="5"/>
      <c r="U3759" s="5"/>
      <c r="V3759" s="5"/>
      <c r="W3759" s="5"/>
      <c r="X3759" s="5"/>
      <c r="Y3759" s="5"/>
      <c r="Z3759" s="5"/>
    </row>
    <row r="3760" spans="1:26" ht="15.6" x14ac:dyDescent="0.3">
      <c r="A3760" s="19" t="s">
        <v>8</v>
      </c>
      <c r="B3760" s="26" t="s">
        <v>3744</v>
      </c>
      <c r="C3760" s="2" t="str">
        <f ca="1">IFERROR(__xludf.DUMMYFUNCTION("GOOGLETRANSLATE(B3760, ""bn"", ""en"")"),"Brahmins hastened the eradication of Buddhism by destroying Buddhist establishments at a wholesale rate.")</f>
        <v>Brahmins hastened the eradication of Buddhism by destroying Buddhist establishments at a wholesale rate.</v>
      </c>
      <c r="D3760" s="7"/>
      <c r="E3760" s="5"/>
      <c r="F3760" s="5"/>
      <c r="G3760" s="5"/>
      <c r="H3760" s="5"/>
      <c r="I3760" s="5"/>
      <c r="J3760" s="5"/>
      <c r="K3760" s="5"/>
      <c r="L3760" s="5"/>
      <c r="M3760" s="5"/>
      <c r="N3760" s="5"/>
      <c r="O3760" s="5"/>
      <c r="P3760" s="5"/>
      <c r="Q3760" s="5"/>
      <c r="R3760" s="5"/>
      <c r="S3760" s="5"/>
      <c r="T3760" s="5"/>
      <c r="U3760" s="5"/>
      <c r="V3760" s="5"/>
      <c r="W3760" s="5"/>
      <c r="X3760" s="5"/>
      <c r="Y3760" s="5"/>
      <c r="Z3760" s="5"/>
    </row>
    <row r="3761" spans="1:26" ht="15.6" x14ac:dyDescent="0.3">
      <c r="A3761" s="19" t="s">
        <v>5</v>
      </c>
      <c r="B3761" s="26" t="s">
        <v>3745</v>
      </c>
      <c r="C3761" s="2" t="str">
        <f ca="1">IFERROR(__xludf.DUMMYFUNCTION("GOOGLETRANSLATE(B3761, ""bn"", ""en"")"),"In October 2008, a senior Maoist leader claimed responsibility for Laxmanananda's murder. Police confirmed that the Maoists trained tribal youths to kill.")</f>
        <v>In October 2008, a senior Maoist leader claimed responsibility for Laxmanananda's murder. Police confirmed that the Maoists trained tribal youths to kill.</v>
      </c>
      <c r="D3761" s="7"/>
      <c r="E3761" s="7"/>
      <c r="F3761" s="7"/>
      <c r="G3761" s="7"/>
      <c r="H3761" s="7"/>
      <c r="I3761" s="7"/>
      <c r="J3761" s="7"/>
      <c r="K3761" s="7"/>
      <c r="L3761" s="7"/>
      <c r="M3761" s="7"/>
      <c r="N3761" s="5"/>
      <c r="O3761" s="5"/>
      <c r="P3761" s="5"/>
      <c r="Q3761" s="5"/>
      <c r="R3761" s="5"/>
      <c r="S3761" s="5"/>
      <c r="T3761" s="5"/>
      <c r="U3761" s="5"/>
      <c r="V3761" s="5"/>
      <c r="W3761" s="5"/>
      <c r="X3761" s="5"/>
      <c r="Y3761" s="5"/>
      <c r="Z3761" s="5"/>
    </row>
    <row r="3762" spans="1:26" ht="15.6" x14ac:dyDescent="0.3">
      <c r="A3762" s="19" t="s">
        <v>8</v>
      </c>
      <c r="B3762" s="26" t="s">
        <v>3746</v>
      </c>
      <c r="C3762" s="2" t="str">
        <f ca="1">IFERROR(__xludf.DUMMYFUNCTION("GOOGLETRANSLATE(B3762, ""bn"", ""en"")"),"Kali statue vandalized in Bagerhat, complaint lodged at police station")</f>
        <v>Kali statue vandalized in Bagerhat, complaint lodged at police station</v>
      </c>
      <c r="D3762" s="5"/>
      <c r="E3762" s="5"/>
      <c r="F3762" s="5"/>
      <c r="G3762" s="5"/>
      <c r="H3762" s="5"/>
      <c r="I3762" s="5"/>
      <c r="J3762" s="5"/>
      <c r="K3762" s="5"/>
      <c r="L3762" s="5"/>
      <c r="M3762" s="5"/>
      <c r="N3762" s="5"/>
      <c r="O3762" s="5"/>
      <c r="P3762" s="5"/>
      <c r="Q3762" s="5"/>
      <c r="R3762" s="5"/>
      <c r="S3762" s="5"/>
      <c r="T3762" s="5"/>
      <c r="U3762" s="5"/>
      <c r="V3762" s="5"/>
      <c r="W3762" s="5"/>
      <c r="X3762" s="5"/>
      <c r="Y3762" s="5"/>
      <c r="Z3762" s="5"/>
    </row>
    <row r="3763" spans="1:26" ht="15.6" x14ac:dyDescent="0.3">
      <c r="A3763" s="19" t="s">
        <v>23</v>
      </c>
      <c r="B3763" s="26" t="s">
        <v>3747</v>
      </c>
      <c r="C3763" s="2" t="str">
        <f ca="1">IFERROR(__xludf.DUMMYFUNCTION("GOOGLETRANSLATE(B3763, ""bn"", ""en"")"),"I want the criminals to be hanged. Otherwise, I call upon all Muslims to boycott Bangladeshi products.")</f>
        <v>I want the criminals to be hanged. Otherwise, I call upon all Muslims to boycott Bangladeshi products.</v>
      </c>
      <c r="D3763" s="7"/>
      <c r="E3763" s="7"/>
      <c r="F3763" s="7"/>
      <c r="G3763" s="7"/>
      <c r="H3763" s="5"/>
      <c r="I3763" s="5"/>
      <c r="J3763" s="5"/>
      <c r="K3763" s="5"/>
      <c r="L3763" s="5"/>
      <c r="M3763" s="5"/>
      <c r="N3763" s="5"/>
      <c r="O3763" s="5"/>
      <c r="P3763" s="5"/>
      <c r="Q3763" s="5"/>
      <c r="R3763" s="5"/>
      <c r="S3763" s="5"/>
      <c r="T3763" s="5"/>
      <c r="U3763" s="5"/>
      <c r="V3763" s="5"/>
      <c r="W3763" s="5"/>
      <c r="X3763" s="5"/>
      <c r="Y3763" s="5"/>
      <c r="Z3763" s="5"/>
    </row>
    <row r="3764" spans="1:26" ht="15.6" x14ac:dyDescent="0.3">
      <c r="A3764" s="19" t="s">
        <v>23</v>
      </c>
      <c r="B3764" s="26" t="s">
        <v>3748</v>
      </c>
      <c r="C3764" s="2" t="str">
        <f ca="1">IFERROR(__xludf.DUMMYFUNCTION("GOOGLETRANSLATE(B3764, ""bn"", ""en"")"),"You said that playing music or gambling will not be allowed, but in every puja or mandap of yours, all these are allowed. You say one thing and do one thing.")</f>
        <v>You said that playing music or gambling will not be allowed, but in every puja or mandap of yours, all these are allowed. You say one thing and do one thing.</v>
      </c>
      <c r="D3764" s="5"/>
      <c r="E3764" s="5"/>
      <c r="F3764" s="5"/>
      <c r="G3764" s="5"/>
      <c r="H3764" s="5"/>
      <c r="I3764" s="5"/>
      <c r="J3764" s="5"/>
      <c r="K3764" s="5"/>
      <c r="L3764" s="5"/>
      <c r="M3764" s="5"/>
      <c r="N3764" s="5"/>
      <c r="O3764" s="5"/>
      <c r="P3764" s="5"/>
      <c r="Q3764" s="5"/>
      <c r="R3764" s="5"/>
      <c r="S3764" s="5"/>
      <c r="T3764" s="5"/>
      <c r="U3764" s="5"/>
      <c r="V3764" s="5"/>
      <c r="W3764" s="5"/>
      <c r="X3764" s="5"/>
      <c r="Y3764" s="5"/>
      <c r="Z3764" s="5"/>
    </row>
    <row r="3765" spans="1:26" ht="15.6" x14ac:dyDescent="0.3">
      <c r="A3765" s="18" t="s">
        <v>5</v>
      </c>
      <c r="B3765" s="25" t="s">
        <v>3749</v>
      </c>
      <c r="C3765" s="2" t="str">
        <f ca="1">IFERROR(__xludf.DUMMYFUNCTION("GOOGLETRANSLATE(B3765, ""bn"", ""en"")"),"Those Hindus who refused to get off the train were strangled to death on the spot. On January 15, a violent Muslim mob entered the priest's house on Nawabpur Road, destroyed the Radha-Krishna temple and beheaded the priest by slitting his throat.")</f>
        <v>Those Hindus who refused to get off the train were strangled to death on the spot. On January 15, a violent Muslim mob entered the priest's house on Nawabpur Road, destroyed the Radha-Krishna temple and beheaded the priest by slitting his throat.</v>
      </c>
      <c r="D3765" s="6"/>
      <c r="E3765" s="6"/>
      <c r="F3765" s="6"/>
      <c r="G3765" s="6"/>
      <c r="H3765" s="3"/>
      <c r="I3765" s="3"/>
      <c r="J3765" s="3"/>
      <c r="K3765" s="3"/>
      <c r="L3765" s="3"/>
      <c r="M3765" s="3"/>
      <c r="N3765" s="3"/>
      <c r="O3765" s="3"/>
      <c r="P3765" s="3"/>
      <c r="Q3765" s="3"/>
      <c r="R3765" s="3"/>
      <c r="S3765" s="3"/>
      <c r="T3765" s="3"/>
      <c r="U3765" s="3"/>
      <c r="V3765" s="3"/>
      <c r="W3765" s="3"/>
      <c r="X3765" s="3"/>
      <c r="Y3765" s="3"/>
      <c r="Z3765" s="3"/>
    </row>
    <row r="3766" spans="1:26" ht="15.6" x14ac:dyDescent="0.3">
      <c r="A3766" s="18" t="s">
        <v>8</v>
      </c>
      <c r="B3766" s="25" t="s">
        <v>3750</v>
      </c>
      <c r="C3766" s="2" t="str">
        <f ca="1">IFERROR(__xludf.DUMMYFUNCTION("GOOGLETRANSLATE(B3766, ""bn"", ""en"")"),"On 7 February a group of 500-600 Muslims attacked Lokeshwar village under Chatak police station. There they looted the houses of Hindus especially Brahmins and brutally beat and injured two people. Here too they tore the Brahmin's sacred braids and cut of"&amp;"f the tufts or tikkis of hair placed on the head.")</f>
        <v>On 7 February a group of 500-600 Muslims attacked Lokeshwar village under Chatak police station. There they looted the houses of Hindus especially Brahmins and brutally beat and injured two people. Here too they tore the Brahmin's sacred braids and cut off the tufts or tikkis of hair placed on the head.</v>
      </c>
      <c r="D3766" s="5"/>
      <c r="E3766" s="5"/>
      <c r="F3766" s="5"/>
      <c r="G3766" s="5"/>
      <c r="H3766" s="5"/>
      <c r="I3766" s="5"/>
      <c r="J3766" s="5"/>
      <c r="K3766" s="5"/>
      <c r="L3766" s="5"/>
      <c r="M3766" s="5"/>
      <c r="N3766" s="5"/>
      <c r="O3766" s="5"/>
      <c r="P3766" s="5"/>
      <c r="Q3766" s="5"/>
      <c r="R3766" s="5"/>
      <c r="S3766" s="5"/>
      <c r="T3766" s="5"/>
      <c r="U3766" s="5"/>
      <c r="V3766" s="5"/>
      <c r="W3766" s="5"/>
      <c r="X3766" s="5"/>
      <c r="Y3766" s="5"/>
      <c r="Z3766" s="5"/>
    </row>
    <row r="3767" spans="1:26" ht="15.6" x14ac:dyDescent="0.3">
      <c r="A3767" s="18" t="s">
        <v>5</v>
      </c>
      <c r="B3767" s="24" t="s">
        <v>3751</v>
      </c>
      <c r="C3767" s="2" t="str">
        <f ca="1">IFERROR(__xludf.DUMMYFUNCTION("GOOGLETRANSLATE(B3767, ""bn"", ""en"")"),"At least 38 people were killed in an attack on minority Hindus in Jhenaidah due to religious hatred. Many women and children were injured. The attackers vandalized their homes and property.")</f>
        <v>At least 38 people were killed in an attack on minority Hindus in Jhenaidah due to religious hatred. Many women and children were injured. The attackers vandalized their homes and property.</v>
      </c>
      <c r="D3767" s="5"/>
      <c r="E3767" s="5"/>
      <c r="F3767" s="5"/>
      <c r="G3767" s="5"/>
      <c r="H3767" s="5"/>
      <c r="I3767" s="5"/>
      <c r="J3767" s="5"/>
      <c r="K3767" s="5"/>
      <c r="L3767" s="5"/>
      <c r="M3767" s="5"/>
      <c r="N3767" s="5"/>
      <c r="O3767" s="5"/>
      <c r="P3767" s="5"/>
      <c r="Q3767" s="5"/>
      <c r="R3767" s="5"/>
      <c r="S3767" s="5"/>
      <c r="T3767" s="5"/>
      <c r="U3767" s="5"/>
      <c r="V3767" s="5"/>
      <c r="W3767" s="5"/>
      <c r="X3767" s="5"/>
      <c r="Y3767" s="5"/>
      <c r="Z3767" s="5"/>
    </row>
    <row r="3768" spans="1:26" ht="15.6" x14ac:dyDescent="0.3">
      <c r="A3768" s="19" t="s">
        <v>3</v>
      </c>
      <c r="B3768" s="26" t="s">
        <v>3752</v>
      </c>
      <c r="C3768" s="2" t="str">
        <f ca="1">IFERROR(__xludf.DUMMYFUNCTION("GOOGLETRANSLATE(B3768, ""bn"", ""en"")"),"I have not seen Swaraswati Puja anywhere outside Jagannath Hall. How many years have I been in DU today? Jagannath is a separate place for Hindu Buddhist Christians. I have not seen the worship ceremony in Battala, department, faculty till date.")</f>
        <v>I have not seen Swaraswati Puja anywhere outside Jagannath Hall. How many years have I been in DU today? Jagannath is a separate place for Hindu Buddhist Christians. I have not seen the worship ceremony in Battala, department, faculty till date.</v>
      </c>
      <c r="D3768" s="5"/>
      <c r="E3768" s="5"/>
      <c r="F3768" s="5"/>
      <c r="G3768" s="5"/>
      <c r="H3768" s="5"/>
      <c r="I3768" s="5"/>
      <c r="J3768" s="5"/>
      <c r="K3768" s="5"/>
      <c r="L3768" s="5"/>
      <c r="M3768" s="5"/>
      <c r="N3768" s="5"/>
      <c r="O3768" s="5"/>
      <c r="P3768" s="5"/>
      <c r="Q3768" s="5"/>
      <c r="R3768" s="5"/>
      <c r="S3768" s="5"/>
      <c r="T3768" s="5"/>
      <c r="U3768" s="5"/>
      <c r="V3768" s="5"/>
      <c r="W3768" s="5"/>
      <c r="X3768" s="5"/>
      <c r="Y3768" s="5"/>
      <c r="Z3768" s="5"/>
    </row>
    <row r="3769" spans="1:26" ht="15.6" x14ac:dyDescent="0.3">
      <c r="A3769" s="18" t="s">
        <v>3</v>
      </c>
      <c r="B3769" s="25" t="s">
        <v>3753</v>
      </c>
      <c r="C3769" s="2" t="str">
        <f ca="1">IFERROR(__xludf.DUMMYFUNCTION("GOOGLETRANSLATE(B3769, ""bn"", ""en"")"),"They also believed that God had a kinship relationship with the jinn, they also considered him to be the son of God, and the then regional deities Laat, Uzzah, Manat, they considered daughters of God.")</f>
        <v>They also believed that God had a kinship relationship with the jinn, they also considered him to be the son of God, and the then regional deities Laat, Uzzah, Manat, they considered daughters of God.</v>
      </c>
      <c r="D3769" s="6"/>
      <c r="E3769" s="6"/>
      <c r="F3769" s="6"/>
      <c r="G3769" s="6"/>
      <c r="H3769" s="5"/>
      <c r="I3769" s="5"/>
      <c r="J3769" s="5"/>
      <c r="K3769" s="5"/>
      <c r="L3769" s="5"/>
      <c r="M3769" s="5"/>
      <c r="N3769" s="5"/>
      <c r="O3769" s="5"/>
      <c r="P3769" s="5"/>
      <c r="Q3769" s="5"/>
      <c r="R3769" s="5"/>
      <c r="S3769" s="5"/>
      <c r="T3769" s="5"/>
      <c r="U3769" s="5"/>
      <c r="V3769" s="5"/>
      <c r="W3769" s="5"/>
      <c r="X3769" s="5"/>
      <c r="Y3769" s="5"/>
      <c r="Z3769" s="5"/>
    </row>
    <row r="3770" spans="1:26" ht="15.6" x14ac:dyDescent="0.3">
      <c r="A3770" s="18" t="s">
        <v>23</v>
      </c>
      <c r="B3770" s="25" t="s">
        <v>3754</v>
      </c>
      <c r="C3770" s="2" t="str">
        <f ca="1">IFERROR(__xludf.DUMMYFUNCTION("GOOGLETRANSLATE(B3770, ""bn"", ""en"")"),"Hindus are systematically imposing Hinduism in some places by erasing the existence of Muslims, I think this is a direct evidence of religious genocide.")</f>
        <v>Hindus are systematically imposing Hinduism in some places by erasing the existence of Muslims, I think this is a direct evidence of religious genocide.</v>
      </c>
      <c r="D3770" s="5"/>
      <c r="E3770" s="5"/>
      <c r="F3770" s="5"/>
      <c r="G3770" s="5"/>
      <c r="H3770" s="5"/>
      <c r="I3770" s="5"/>
      <c r="J3770" s="5"/>
      <c r="K3770" s="5"/>
      <c r="L3770" s="5"/>
      <c r="M3770" s="5"/>
      <c r="N3770" s="5"/>
      <c r="O3770" s="5"/>
      <c r="P3770" s="5"/>
      <c r="Q3770" s="5"/>
      <c r="R3770" s="5"/>
      <c r="S3770" s="5"/>
      <c r="T3770" s="5"/>
      <c r="U3770" s="5"/>
      <c r="V3770" s="5"/>
      <c r="W3770" s="5"/>
      <c r="X3770" s="5"/>
      <c r="Y3770" s="5"/>
      <c r="Z3770" s="5"/>
    </row>
    <row r="3771" spans="1:26" ht="15.6" x14ac:dyDescent="0.3">
      <c r="A3771" s="19" t="s">
        <v>23</v>
      </c>
      <c r="B3771" s="26" t="s">
        <v>3755</v>
      </c>
      <c r="C3771" s="2" t="str">
        <f ca="1">IFERROR(__xludf.DUMMYFUNCTION("GOOGLETRANSLATE(B3771, ""bn"", ""en"")"),"Religion scoffers are low minded, who don't have the guts to attack and make fun of others on social media, which is sad.")</f>
        <v>Religion scoffers are low minded, who don't have the guts to attack and make fun of others on social media, which is sad.</v>
      </c>
      <c r="D3771" s="7"/>
      <c r="E3771" s="7"/>
      <c r="F3771" s="7"/>
      <c r="G3771" s="7"/>
      <c r="H3771" s="7"/>
      <c r="I3771" s="7"/>
      <c r="J3771" s="7"/>
      <c r="K3771" s="7"/>
      <c r="L3771" s="5"/>
      <c r="M3771" s="5"/>
      <c r="N3771" s="5"/>
      <c r="O3771" s="5"/>
      <c r="P3771" s="5"/>
      <c r="Q3771" s="5"/>
      <c r="R3771" s="5"/>
      <c r="S3771" s="5"/>
      <c r="T3771" s="5"/>
      <c r="U3771" s="5"/>
      <c r="V3771" s="5"/>
      <c r="W3771" s="5"/>
      <c r="X3771" s="5"/>
      <c r="Y3771" s="5"/>
      <c r="Z3771" s="5"/>
    </row>
    <row r="3772" spans="1:26" ht="15.6" x14ac:dyDescent="0.3">
      <c r="A3772" s="19" t="s">
        <v>8</v>
      </c>
      <c r="B3772" s="26" t="s">
        <v>3756</v>
      </c>
      <c r="C3772" s="2" t="str">
        <f ca="1">IFERROR(__xludf.DUMMYFUNCTION("GOOGLETRANSLATE(B3772, ""bn"", ""en"")"),"Clashes arose over the construction of a Christian church next to a Muslim cemetery in Tangail, after which the walls of the church were demolished.")</f>
        <v>Clashes arose over the construction of a Christian church next to a Muslim cemetery in Tangail, after which the walls of the church were demolished.</v>
      </c>
      <c r="D3772" s="5"/>
      <c r="E3772" s="5"/>
      <c r="F3772" s="5"/>
      <c r="G3772" s="5"/>
      <c r="H3772" s="5"/>
      <c r="I3772" s="5"/>
      <c r="J3772" s="5"/>
      <c r="K3772" s="5"/>
      <c r="L3772" s="5"/>
      <c r="M3772" s="5"/>
      <c r="N3772" s="5"/>
      <c r="O3772" s="5"/>
      <c r="P3772" s="5"/>
      <c r="Q3772" s="5"/>
      <c r="R3772" s="5"/>
      <c r="S3772" s="5"/>
      <c r="T3772" s="5"/>
      <c r="U3772" s="5"/>
      <c r="V3772" s="5"/>
      <c r="W3772" s="5"/>
      <c r="X3772" s="5"/>
      <c r="Y3772" s="5"/>
      <c r="Z3772" s="5"/>
    </row>
    <row r="3773" spans="1:26" ht="15.6" x14ac:dyDescent="0.3">
      <c r="A3773" s="19" t="s">
        <v>3</v>
      </c>
      <c r="B3773" s="26" t="s">
        <v>3757</v>
      </c>
      <c r="C3773" s="2" t="str">
        <f ca="1">IFERROR(__xludf.DUMMYFUNCTION("GOOGLETRANSLATE(B3773, ""bn"", ""en"")"),"It is the holy place for monotheists, where Abraham, Jesus and Muhammad began their religious teachings that spread throughout the world.")</f>
        <v>It is the holy place for monotheists, where Abraham, Jesus and Muhammad began their religious teachings that spread throughout the world.</v>
      </c>
      <c r="D3773" s="7"/>
      <c r="E3773" s="7"/>
      <c r="F3773" s="7"/>
      <c r="G3773" s="7"/>
      <c r="H3773" s="7"/>
      <c r="I3773" s="7"/>
      <c r="J3773" s="5"/>
      <c r="K3773" s="5"/>
      <c r="L3773" s="5"/>
      <c r="M3773" s="5"/>
      <c r="N3773" s="5"/>
      <c r="O3773" s="5"/>
      <c r="P3773" s="5"/>
      <c r="Q3773" s="5"/>
      <c r="R3773" s="5"/>
      <c r="S3773" s="5"/>
      <c r="T3773" s="5"/>
      <c r="U3773" s="5"/>
      <c r="V3773" s="5"/>
      <c r="W3773" s="5"/>
      <c r="X3773" s="5"/>
      <c r="Y3773" s="5"/>
      <c r="Z3773" s="5"/>
    </row>
    <row r="3774" spans="1:26" ht="15.6" x14ac:dyDescent="0.3">
      <c r="A3774" s="18" t="s">
        <v>23</v>
      </c>
      <c r="B3774" s="24" t="s">
        <v>3758</v>
      </c>
      <c r="C3774" s="2" t="str">
        <f ca="1">IFERROR(__xludf.DUMMYFUNCTION("GOOGLETRANSLATE(B3774, ""bn"", ""en"")"),"Some extremist groups in the Hindu community are fueling communal tensions in the country by spreading religious hatred.")</f>
        <v>Some extremist groups in the Hindu community are fueling communal tensions in the country by spreading religious hatred.</v>
      </c>
      <c r="D3774" s="5"/>
      <c r="E3774" s="5"/>
      <c r="F3774" s="5"/>
      <c r="G3774" s="5"/>
      <c r="H3774" s="5"/>
      <c r="I3774" s="5"/>
      <c r="J3774" s="5"/>
      <c r="K3774" s="5"/>
      <c r="L3774" s="5"/>
      <c r="M3774" s="5"/>
      <c r="N3774" s="5"/>
      <c r="O3774" s="5"/>
      <c r="P3774" s="5"/>
      <c r="Q3774" s="5"/>
      <c r="R3774" s="5"/>
      <c r="S3774" s="5"/>
      <c r="T3774" s="5"/>
      <c r="U3774" s="5"/>
      <c r="V3774" s="5"/>
      <c r="W3774" s="5"/>
      <c r="X3774" s="5"/>
      <c r="Y3774" s="5"/>
      <c r="Z3774" s="5"/>
    </row>
    <row r="3775" spans="1:26" ht="15.6" x14ac:dyDescent="0.3">
      <c r="A3775" s="18" t="s">
        <v>23</v>
      </c>
      <c r="B3775" s="24" t="s">
        <v>704</v>
      </c>
      <c r="C3775" s="2" t="str">
        <f ca="1">IFERROR(__xludf.DUMMYFUNCTION("GOOGLETRANSLATE(B3775, ""bn"", ""en"")"),"Muslim extremists consider their religion superior to other religions and despise others.")</f>
        <v>Muslim extremists consider their religion superior to other religions and despise others.</v>
      </c>
      <c r="D3775" s="5"/>
      <c r="E3775" s="5"/>
      <c r="F3775" s="5"/>
      <c r="G3775" s="5"/>
      <c r="H3775" s="5"/>
      <c r="I3775" s="5"/>
      <c r="J3775" s="5"/>
      <c r="K3775" s="5"/>
      <c r="L3775" s="5"/>
      <c r="M3775" s="5"/>
      <c r="N3775" s="5"/>
      <c r="O3775" s="5"/>
      <c r="P3775" s="5"/>
      <c r="Q3775" s="5"/>
      <c r="R3775" s="5"/>
      <c r="S3775" s="5"/>
      <c r="T3775" s="5"/>
      <c r="U3775" s="5"/>
      <c r="V3775" s="5"/>
      <c r="W3775" s="5"/>
      <c r="X3775" s="5"/>
      <c r="Y3775" s="5"/>
      <c r="Z3775" s="5"/>
    </row>
    <row r="3776" spans="1:26" ht="15.6" x14ac:dyDescent="0.3">
      <c r="A3776" s="19" t="s">
        <v>5</v>
      </c>
      <c r="B3776" s="26" t="s">
        <v>3759</v>
      </c>
      <c r="C3776" s="2" t="str">
        <f ca="1">IFERROR(__xludf.DUMMYFUNCTION("GOOGLETRANSLATE(B3776, ""bn"", ""en"")"),"On March 17, 2021, hundreds of Hindu houses were attacked in Sunamganj's Habibpur Noagaon on the accusation of a Hindu youth insulting Islamic scholar Mamunul Haque.")</f>
        <v>On March 17, 2021, hundreds of Hindu houses were attacked in Sunamganj's Habibpur Noagaon on the accusation of a Hindu youth insulting Islamic scholar Mamunul Haque.</v>
      </c>
      <c r="D3776" s="7"/>
      <c r="E3776" s="7"/>
      <c r="F3776" s="7"/>
      <c r="G3776" s="7"/>
      <c r="H3776" s="7"/>
      <c r="I3776" s="7"/>
      <c r="J3776" s="7"/>
      <c r="K3776" s="7"/>
      <c r="L3776" s="7"/>
      <c r="M3776" s="5"/>
      <c r="N3776" s="5"/>
      <c r="O3776" s="5"/>
      <c r="P3776" s="5"/>
      <c r="Q3776" s="5"/>
      <c r="R3776" s="5"/>
      <c r="S3776" s="5"/>
      <c r="T3776" s="5"/>
      <c r="U3776" s="5"/>
      <c r="V3776" s="5"/>
      <c r="W3776" s="5"/>
      <c r="X3776" s="5"/>
      <c r="Y3776" s="5"/>
      <c r="Z3776" s="5"/>
    </row>
    <row r="3777" spans="1:26" ht="15.6" x14ac:dyDescent="0.3">
      <c r="A3777" s="18" t="s">
        <v>23</v>
      </c>
      <c r="B3777" s="25" t="s">
        <v>3760</v>
      </c>
      <c r="C3777" s="2" t="str">
        <f ca="1">IFERROR(__xludf.DUMMYFUNCTION("GOOGLETRANSLATE(B3777, ""bn"", ""en"")"),"If the male members of every traditional family are aware and aware about the respect of women and the practice of religion, then it is possible to create a civilized society by abolishing the barbaric dance and song during worship.")</f>
        <v>If the male members of every traditional family are aware and aware about the respect of women and the practice of religion, then it is possible to create a civilized society by abolishing the barbaric dance and song during worship.</v>
      </c>
      <c r="D3777" s="5"/>
      <c r="E3777" s="5"/>
      <c r="F3777" s="5"/>
      <c r="G3777" s="5"/>
      <c r="H3777" s="5"/>
      <c r="I3777" s="5"/>
      <c r="J3777" s="5"/>
      <c r="K3777" s="5"/>
      <c r="L3777" s="5"/>
      <c r="M3777" s="5"/>
      <c r="N3777" s="5"/>
      <c r="O3777" s="5"/>
      <c r="P3777" s="5"/>
      <c r="Q3777" s="5"/>
      <c r="R3777" s="5"/>
      <c r="S3777" s="5"/>
      <c r="T3777" s="5"/>
      <c r="U3777" s="5"/>
      <c r="V3777" s="5"/>
      <c r="W3777" s="5"/>
      <c r="X3777" s="5"/>
      <c r="Y3777" s="5"/>
      <c r="Z3777" s="5"/>
    </row>
    <row r="3778" spans="1:26" ht="15.6" x14ac:dyDescent="0.3">
      <c r="A3778" s="18" t="s">
        <v>3</v>
      </c>
      <c r="B3778" s="25" t="s">
        <v>3761</v>
      </c>
      <c r="C3778" s="2" t="str">
        <f ca="1">IFERROR(__xludf.DUMMYFUNCTION("GOOGLETRANSLATE(B3778, ""bn"", ""en"")"),"Islam does not support any kind of religious conflict.")</f>
        <v>Islam does not support any kind of religious conflict.</v>
      </c>
      <c r="D3778" s="5"/>
      <c r="E3778" s="5"/>
      <c r="F3778" s="5"/>
      <c r="G3778" s="5"/>
      <c r="H3778" s="5"/>
      <c r="I3778" s="5"/>
      <c r="J3778" s="5"/>
      <c r="K3778" s="5"/>
      <c r="L3778" s="5"/>
      <c r="M3778" s="5"/>
      <c r="N3778" s="5"/>
      <c r="O3778" s="5"/>
      <c r="P3778" s="5"/>
      <c r="Q3778" s="5"/>
      <c r="R3778" s="5"/>
      <c r="S3778" s="5"/>
      <c r="T3778" s="5"/>
      <c r="U3778" s="5"/>
      <c r="V3778" s="5"/>
      <c r="W3778" s="5"/>
      <c r="X3778" s="5"/>
      <c r="Y3778" s="5"/>
      <c r="Z3778" s="5"/>
    </row>
    <row r="3779" spans="1:26" ht="15.6" x14ac:dyDescent="0.3">
      <c r="A3779" s="18" t="s">
        <v>3</v>
      </c>
      <c r="B3779" s="25" t="s">
        <v>3762</v>
      </c>
      <c r="C3779" s="2" t="str">
        <f ca="1">IFERROR(__xludf.DUMMYFUNCTION("GOOGLETRANSLATE(B3779, ""bn"", ""en"")"),"God has predestined what happens in the destiny of people. It has been said, 'Whatever calamity befalls you in the world or personally is recorded before I cause it. It is very easy for Allah.")</f>
        <v>God has predestined what happens in the destiny of people. It has been said, 'Whatever calamity befalls you in the world or personally is recorded before I cause it. It is very easy for Allah.</v>
      </c>
      <c r="D3779" s="5"/>
      <c r="E3779" s="5"/>
      <c r="F3779" s="5"/>
      <c r="G3779" s="5"/>
      <c r="H3779" s="5"/>
      <c r="I3779" s="5"/>
      <c r="J3779" s="5"/>
      <c r="K3779" s="5"/>
      <c r="L3779" s="5"/>
      <c r="M3779" s="5"/>
      <c r="N3779" s="5"/>
      <c r="O3779" s="5"/>
      <c r="P3779" s="5"/>
      <c r="Q3779" s="5"/>
      <c r="R3779" s="5"/>
      <c r="S3779" s="5"/>
      <c r="T3779" s="5"/>
      <c r="U3779" s="5"/>
      <c r="V3779" s="5"/>
      <c r="W3779" s="5"/>
      <c r="X3779" s="5"/>
      <c r="Y3779" s="5"/>
      <c r="Z3779" s="5"/>
    </row>
    <row r="3780" spans="1:26" ht="15.6" x14ac:dyDescent="0.3">
      <c r="A3780" s="19" t="s">
        <v>5</v>
      </c>
      <c r="B3780" s="26" t="s">
        <v>3763</v>
      </c>
      <c r="C3780" s="2" t="str">
        <f ca="1">IFERROR(__xludf.DUMMYFUNCTION("GOOGLETRANSLATE(B3780, ""bn"", ""en"")"),"Senior Superintendent of Police was injured, ADM D.P. Singh was captured and killed by some people. Police opened fire on the crowd, killing many Muslims; The Muslim leader compared the incident to the Jallianwala Bagh massacre.")</f>
        <v>Senior Superintendent of Police was injured, ADM D.P. Singh was captured and killed by some people. Police opened fire on the crowd, killing many Muslims; The Muslim leader compared the incident to the Jallianwala Bagh massacre.</v>
      </c>
      <c r="D3780" s="2"/>
      <c r="E3780" s="2"/>
      <c r="F3780" s="2"/>
      <c r="G3780" s="2"/>
      <c r="H3780" s="3"/>
      <c r="I3780" s="3"/>
      <c r="J3780" s="3"/>
      <c r="K3780" s="3"/>
      <c r="L3780" s="3"/>
      <c r="M3780" s="3"/>
      <c r="N3780" s="3"/>
      <c r="O3780" s="3"/>
      <c r="P3780" s="3"/>
      <c r="Q3780" s="3"/>
      <c r="R3780" s="3"/>
      <c r="S3780" s="3"/>
      <c r="T3780" s="3"/>
      <c r="U3780" s="3"/>
      <c r="V3780" s="3"/>
      <c r="W3780" s="3"/>
      <c r="X3780" s="3"/>
      <c r="Y3780" s="3"/>
      <c r="Z3780" s="3"/>
    </row>
    <row r="3781" spans="1:26" ht="15.6" x14ac:dyDescent="0.3">
      <c r="A3781" s="18" t="s">
        <v>5</v>
      </c>
      <c r="B3781" s="24" t="s">
        <v>3764</v>
      </c>
      <c r="C3781" s="2" t="str">
        <f ca="1">IFERROR(__xludf.DUMMYFUNCTION("GOOGLETRANSLATE(B3781, ""bn"", ""en"")"),"In April 2018, the state revoked the citizenship of a religious group, leaving them destitute and 57 people dying of poverty and illness.")</f>
        <v>In April 2018, the state revoked the citizenship of a religious group, leaving them destitute and 57 people dying of poverty and illness.</v>
      </c>
      <c r="D3781" s="5"/>
      <c r="E3781" s="5"/>
      <c r="F3781" s="5"/>
      <c r="G3781" s="5"/>
      <c r="H3781" s="5"/>
      <c r="I3781" s="5"/>
      <c r="J3781" s="5"/>
      <c r="K3781" s="5"/>
      <c r="L3781" s="5"/>
      <c r="M3781" s="5"/>
      <c r="N3781" s="5"/>
      <c r="O3781" s="5"/>
      <c r="P3781" s="5"/>
      <c r="Q3781" s="5"/>
      <c r="R3781" s="5"/>
      <c r="S3781" s="5"/>
      <c r="T3781" s="5"/>
      <c r="U3781" s="5"/>
      <c r="V3781" s="5"/>
      <c r="W3781" s="5"/>
      <c r="X3781" s="5"/>
      <c r="Y3781" s="5"/>
      <c r="Z3781" s="5"/>
    </row>
    <row r="3782" spans="1:26" ht="15.6" x14ac:dyDescent="0.3">
      <c r="A3782" s="18" t="s">
        <v>5</v>
      </c>
      <c r="B3782" s="25" t="s">
        <v>3765</v>
      </c>
      <c r="C3782" s="2" t="str">
        <f ca="1">IFERROR(__xludf.DUMMYFUNCTION("GOOGLETRANSLATE(B3782, ""bn"", ""en"")"),"Three Muslim students were gunned down in their homes in the city, a grisly example of the terror of religious hatred, where brutal killings are carried out because of religion.")</f>
        <v>Three Muslim students were gunned down in their homes in the city, a grisly example of the terror of religious hatred, where brutal killings are carried out because of religion.</v>
      </c>
      <c r="D3782" s="5"/>
      <c r="E3782" s="5"/>
      <c r="F3782" s="5"/>
      <c r="G3782" s="5"/>
      <c r="H3782" s="5"/>
      <c r="I3782" s="5"/>
      <c r="J3782" s="5"/>
      <c r="K3782" s="5"/>
      <c r="L3782" s="5"/>
      <c r="M3782" s="5"/>
      <c r="N3782" s="5"/>
      <c r="O3782" s="5"/>
      <c r="P3782" s="5"/>
      <c r="Q3782" s="5"/>
      <c r="R3782" s="5"/>
      <c r="S3782" s="5"/>
      <c r="T3782" s="5"/>
      <c r="U3782" s="5"/>
      <c r="V3782" s="5"/>
      <c r="W3782" s="5"/>
      <c r="X3782" s="5"/>
      <c r="Y3782" s="5"/>
      <c r="Z3782" s="5"/>
    </row>
    <row r="3783" spans="1:26" ht="15.6" x14ac:dyDescent="0.3">
      <c r="A3783" s="19" t="s">
        <v>3</v>
      </c>
      <c r="B3783" s="26" t="s">
        <v>3766</v>
      </c>
      <c r="C3783" s="2" t="str">
        <f ca="1">IFERROR(__xludf.DUMMYFUNCTION("GOOGLETRANSLATE(B3783, ""bn"", ""en"")"),"The mosque committee has temporarily suspended the Friday and five-day prayers at the 200 dome mosque in Tangail's Gopalpur to prevent the spread of coronavirus.")</f>
        <v>The mosque committee has temporarily suspended the Friday and five-day prayers at the 200 dome mosque in Tangail's Gopalpur to prevent the spread of coronavirus.</v>
      </c>
      <c r="D3783" s="7"/>
      <c r="E3783" s="7"/>
      <c r="F3783" s="7"/>
      <c r="G3783" s="7"/>
      <c r="H3783" s="7"/>
      <c r="I3783" s="7"/>
      <c r="J3783" s="7"/>
      <c r="K3783" s="5"/>
      <c r="L3783" s="5"/>
      <c r="M3783" s="5"/>
      <c r="N3783" s="5"/>
      <c r="O3783" s="5"/>
      <c r="P3783" s="5"/>
      <c r="Q3783" s="5"/>
      <c r="R3783" s="5"/>
      <c r="S3783" s="5"/>
      <c r="T3783" s="5"/>
      <c r="U3783" s="5"/>
      <c r="V3783" s="5"/>
      <c r="W3783" s="5"/>
      <c r="X3783" s="5"/>
      <c r="Y3783" s="5"/>
      <c r="Z3783" s="5"/>
    </row>
    <row r="3784" spans="1:26" ht="15.6" x14ac:dyDescent="0.3">
      <c r="A3784" s="19" t="s">
        <v>5</v>
      </c>
      <c r="B3784" s="26" t="s">
        <v>3767</v>
      </c>
      <c r="C3784" s="2" t="str">
        <f ca="1">IFERROR(__xludf.DUMMYFUNCTION("GOOGLETRANSLATE(B3784, ""bn"", ""en"")"),"Communal riots in Bhagalpur killed around 1,000 people, mostly Muslims, and many houses were burnt.")</f>
        <v>Communal riots in Bhagalpur killed around 1,000 people, mostly Muslims, and many houses were burnt.</v>
      </c>
      <c r="D3784" s="7"/>
      <c r="E3784" s="7"/>
      <c r="F3784" s="7"/>
      <c r="G3784" s="7"/>
      <c r="H3784" s="7"/>
      <c r="I3784" s="7"/>
      <c r="J3784" s="5"/>
      <c r="K3784" s="5"/>
      <c r="L3784" s="5"/>
      <c r="M3784" s="5"/>
      <c r="N3784" s="5"/>
      <c r="O3784" s="5"/>
      <c r="P3784" s="5"/>
      <c r="Q3784" s="5"/>
      <c r="R3784" s="5"/>
      <c r="S3784" s="5"/>
      <c r="T3784" s="5"/>
      <c r="U3784" s="5"/>
      <c r="V3784" s="5"/>
      <c r="W3784" s="5"/>
      <c r="X3784" s="5"/>
      <c r="Y3784" s="5"/>
      <c r="Z3784" s="5"/>
    </row>
    <row r="3785" spans="1:26" ht="15.6" x14ac:dyDescent="0.3">
      <c r="A3785" s="18" t="s">
        <v>3</v>
      </c>
      <c r="B3785" s="25" t="s">
        <v>3768</v>
      </c>
      <c r="C3785" s="2" t="str">
        <f ca="1">IFERROR(__xludf.DUMMYFUNCTION("GOOGLETRANSLATE(B3785, ""bn"", ""en"")"),"This video is the final destination of all my worries, worries and despair, by the grace of Allah, all worries are removed, it seems that He is watching everything, everything will be fixed inshallah.")</f>
        <v>This video is the final destination of all my worries, worries and despair, by the grace of Allah, all worries are removed, it seems that He is watching everything, everything will be fixed inshallah.</v>
      </c>
      <c r="D3785" s="5"/>
      <c r="E3785" s="5"/>
      <c r="F3785" s="5"/>
      <c r="G3785" s="5"/>
      <c r="H3785" s="5"/>
      <c r="I3785" s="5"/>
      <c r="J3785" s="5"/>
      <c r="K3785" s="5"/>
      <c r="L3785" s="5"/>
      <c r="M3785" s="5"/>
      <c r="N3785" s="5"/>
      <c r="O3785" s="5"/>
      <c r="P3785" s="5"/>
      <c r="Q3785" s="5"/>
      <c r="R3785" s="5"/>
      <c r="S3785" s="5"/>
      <c r="T3785" s="5"/>
      <c r="U3785" s="5"/>
      <c r="V3785" s="5"/>
      <c r="W3785" s="5"/>
      <c r="X3785" s="5"/>
      <c r="Y3785" s="5"/>
      <c r="Z3785" s="5"/>
    </row>
    <row r="3786" spans="1:26" ht="15.6" x14ac:dyDescent="0.3">
      <c r="A3786" s="18" t="s">
        <v>5</v>
      </c>
      <c r="B3786" s="24" t="s">
        <v>3769</v>
      </c>
      <c r="C3786" s="2" t="str">
        <f ca="1">IFERROR(__xludf.DUMMYFUNCTION("GOOGLETRANSLATE(B3786, ""bn"", ""en"")"),"A Hindu-Muslim clash in Barisal led to serious violence between the two sides. The insurgents used various types of firearms, resulting in the death of 36 people. In addition, many businesses and houses were burnt down as a result of the conflict, leaving"&amp;" countless people homeless.")</f>
        <v>A Hindu-Muslim clash in Barisal led to serious violence between the two sides. The insurgents used various types of firearms, resulting in the death of 36 people. In addition, many businesses and houses were burnt down as a result of the conflict, leaving countless people homeless.</v>
      </c>
      <c r="D3786" s="5"/>
      <c r="E3786" s="5"/>
      <c r="F3786" s="5"/>
      <c r="G3786" s="5"/>
      <c r="H3786" s="5"/>
      <c r="I3786" s="5"/>
      <c r="J3786" s="5"/>
      <c r="K3786" s="5"/>
      <c r="L3786" s="5"/>
      <c r="M3786" s="5"/>
      <c r="N3786" s="5"/>
      <c r="O3786" s="5"/>
      <c r="P3786" s="5"/>
      <c r="Q3786" s="5"/>
      <c r="R3786" s="5"/>
      <c r="S3786" s="5"/>
      <c r="T3786" s="5"/>
      <c r="U3786" s="5"/>
      <c r="V3786" s="5"/>
      <c r="W3786" s="5"/>
      <c r="X3786" s="5"/>
      <c r="Y3786" s="5"/>
      <c r="Z3786" s="5"/>
    </row>
    <row r="3787" spans="1:26" ht="15.6" x14ac:dyDescent="0.3">
      <c r="A3787" s="18" t="s">
        <v>23</v>
      </c>
      <c r="B3787" s="24" t="s">
        <v>3770</v>
      </c>
      <c r="C3787" s="2" t="str">
        <f ca="1">IFERROR(__xludf.DUMMYFUNCTION("GOOGLETRANSLATE(B3787, ""bn"", ""en"")"),"Muslim extremists are creating division and unrest in the society by spreading hatred towards other religions.")</f>
        <v>Muslim extremists are creating division and unrest in the society by spreading hatred towards other religions.</v>
      </c>
      <c r="D3787" s="5"/>
      <c r="E3787" s="5"/>
      <c r="F3787" s="5"/>
      <c r="G3787" s="5"/>
      <c r="H3787" s="5"/>
      <c r="I3787" s="5"/>
      <c r="J3787" s="5"/>
      <c r="K3787" s="5"/>
      <c r="L3787" s="5"/>
      <c r="M3787" s="5"/>
      <c r="N3787" s="5"/>
      <c r="O3787" s="5"/>
      <c r="P3787" s="5"/>
      <c r="Q3787" s="5"/>
      <c r="R3787" s="5"/>
      <c r="S3787" s="5"/>
      <c r="T3787" s="5"/>
      <c r="U3787" s="5"/>
      <c r="V3787" s="5"/>
      <c r="W3787" s="5"/>
      <c r="X3787" s="5"/>
      <c r="Y3787" s="5"/>
      <c r="Z3787" s="5"/>
    </row>
    <row r="3788" spans="1:26" ht="15.6" x14ac:dyDescent="0.3">
      <c r="A3788" s="18" t="s">
        <v>5</v>
      </c>
      <c r="B3788" s="25" t="s">
        <v>3771</v>
      </c>
      <c r="C3788" s="2" t="str">
        <f ca="1">IFERROR(__xludf.DUMMYFUNCTION("GOOGLETRANSLATE(B3788, ""bn"", ""en"")"),"During the Renaissance regime, several Muslims and Dalits were attacked in the name of cow protection, where many were killed.")</f>
        <v>During the Renaissance regime, several Muslims and Dalits were attacked in the name of cow protection, where many were killed.</v>
      </c>
      <c r="D3788" s="2"/>
      <c r="E3788" s="2"/>
      <c r="F3788" s="2"/>
      <c r="G3788" s="2"/>
      <c r="H3788" s="5"/>
      <c r="I3788" s="5"/>
      <c r="J3788" s="5"/>
      <c r="K3788" s="5"/>
      <c r="L3788" s="5"/>
      <c r="M3788" s="5"/>
      <c r="N3788" s="5"/>
      <c r="O3788" s="5"/>
      <c r="P3788" s="5"/>
      <c r="Q3788" s="5"/>
      <c r="R3788" s="5"/>
      <c r="S3788" s="5"/>
      <c r="T3788" s="5"/>
      <c r="U3788" s="5"/>
      <c r="V3788" s="5"/>
      <c r="W3788" s="5"/>
      <c r="X3788" s="5"/>
      <c r="Y3788" s="5"/>
      <c r="Z3788" s="5"/>
    </row>
    <row r="3789" spans="1:26" ht="15.6" x14ac:dyDescent="0.3">
      <c r="A3789" s="18" t="s">
        <v>23</v>
      </c>
      <c r="B3789" s="24" t="s">
        <v>3772</v>
      </c>
      <c r="C3789" s="2" t="str">
        <f ca="1">IFERROR(__xludf.DUMMYFUNCTION("GOOGLETRANSLATE(B3789, ""bn"", ""en"")"),"Christian missionaries are creating division and conflict in the society in the name of conversion which is endangering the peace of the country.")</f>
        <v>Christian missionaries are creating division and conflict in the society in the name of conversion which is endangering the peace of the country.</v>
      </c>
      <c r="D3789" s="5"/>
      <c r="E3789" s="5"/>
      <c r="F3789" s="5"/>
      <c r="G3789" s="5"/>
      <c r="H3789" s="5"/>
      <c r="I3789" s="5"/>
      <c r="J3789" s="5"/>
      <c r="K3789" s="5"/>
      <c r="L3789" s="5"/>
      <c r="M3789" s="5"/>
      <c r="N3789" s="5"/>
      <c r="O3789" s="5"/>
      <c r="P3789" s="5"/>
      <c r="Q3789" s="5"/>
      <c r="R3789" s="5"/>
      <c r="S3789" s="5"/>
      <c r="T3789" s="5"/>
      <c r="U3789" s="5"/>
      <c r="V3789" s="5"/>
      <c r="W3789" s="5"/>
      <c r="X3789" s="5"/>
      <c r="Y3789" s="5"/>
      <c r="Z3789" s="5"/>
    </row>
    <row r="3790" spans="1:26" ht="15.6" x14ac:dyDescent="0.3">
      <c r="A3790" s="18" t="s">
        <v>3</v>
      </c>
      <c r="B3790" s="25" t="s">
        <v>3773</v>
      </c>
      <c r="C3790" s="2" t="str">
        <f ca="1">IFERROR(__xludf.DUMMYFUNCTION("GOOGLETRANSLATE(B3790, ""bn"", ""en"")"),"A true Muslim can never do such a thing. Our religion always teaches us justice and humanity, and forbids injustice to anyone without cause.")</f>
        <v>A true Muslim can never do such a thing. Our religion always teaches us justice and humanity, and forbids injustice to anyone without cause.</v>
      </c>
      <c r="D3790" s="2"/>
      <c r="E3790" s="2"/>
      <c r="F3790" s="2"/>
      <c r="G3790" s="2"/>
      <c r="H3790" s="3"/>
      <c r="I3790" s="3"/>
      <c r="J3790" s="3"/>
      <c r="K3790" s="3"/>
      <c r="L3790" s="3"/>
      <c r="M3790" s="3"/>
      <c r="N3790" s="3"/>
      <c r="O3790" s="3"/>
      <c r="P3790" s="3"/>
      <c r="Q3790" s="3"/>
      <c r="R3790" s="3"/>
      <c r="S3790" s="3"/>
      <c r="T3790" s="3"/>
      <c r="U3790" s="3"/>
      <c r="V3790" s="3"/>
      <c r="W3790" s="3"/>
      <c r="X3790" s="3"/>
      <c r="Y3790" s="3"/>
      <c r="Z3790" s="3"/>
    </row>
    <row r="3791" spans="1:26" ht="15.6" x14ac:dyDescent="0.3">
      <c r="A3791" s="18" t="s">
        <v>23</v>
      </c>
      <c r="B3791" s="25" t="s">
        <v>3774</v>
      </c>
      <c r="C3791" s="2" t="str">
        <f ca="1">IFERROR(__xludf.DUMMYFUNCTION("GOOGLETRANSLATE(B3791, ""bn"", ""en"")"),"Strongly condemn Strongly condemn In Dinajpur, a Hindu temple is being taken over and a mosque is being built. These Islamist militants are attacking Hindu shrines.")</f>
        <v>Strongly condemn Strongly condemn In Dinajpur, a Hindu temple is being taken over and a mosque is being built. These Islamist militants are attacking Hindu shrines.</v>
      </c>
      <c r="D3791" s="5"/>
      <c r="E3791" s="5"/>
      <c r="F3791" s="5"/>
      <c r="G3791" s="5"/>
      <c r="H3791" s="5"/>
      <c r="I3791" s="5"/>
      <c r="J3791" s="5"/>
      <c r="K3791" s="5"/>
      <c r="L3791" s="5"/>
      <c r="M3791" s="5"/>
      <c r="N3791" s="5"/>
      <c r="O3791" s="5"/>
      <c r="P3791" s="5"/>
      <c r="Q3791" s="5"/>
      <c r="R3791" s="5"/>
      <c r="S3791" s="5"/>
      <c r="T3791" s="5"/>
      <c r="U3791" s="5"/>
      <c r="V3791" s="5"/>
      <c r="W3791" s="5"/>
      <c r="X3791" s="5"/>
      <c r="Y3791" s="5"/>
      <c r="Z3791" s="5"/>
    </row>
    <row r="3792" spans="1:26" ht="15.6" x14ac:dyDescent="0.3">
      <c r="A3792" s="18" t="s">
        <v>5</v>
      </c>
      <c r="B3792" s="25" t="s">
        <v>3775</v>
      </c>
      <c r="C3792" s="2" t="str">
        <f ca="1">IFERROR(__xludf.DUMMYFUNCTION("GOOGLETRANSLATE(B3792, ""bn"", ""en"")"),"Although many people were killed in the bomb attack on the Noorganj mosque, no country protested against it.")</f>
        <v>Although many people were killed in the bomb attack on the Noorganj mosque, no country protested against it.</v>
      </c>
      <c r="D3792" s="2"/>
      <c r="E3792" s="2"/>
      <c r="F3792" s="2"/>
      <c r="G3792" s="2"/>
      <c r="H3792" s="5"/>
      <c r="I3792" s="5"/>
      <c r="J3792" s="5"/>
      <c r="K3792" s="5"/>
      <c r="L3792" s="5"/>
      <c r="M3792" s="5"/>
      <c r="N3792" s="5"/>
      <c r="O3792" s="5"/>
      <c r="P3792" s="5"/>
      <c r="Q3792" s="5"/>
      <c r="R3792" s="5"/>
      <c r="S3792" s="5"/>
      <c r="T3792" s="5"/>
      <c r="U3792" s="5"/>
      <c r="V3792" s="5"/>
      <c r="W3792" s="5"/>
      <c r="X3792" s="5"/>
      <c r="Y3792" s="5"/>
      <c r="Z3792" s="5"/>
    </row>
    <row r="3793" spans="1:26" ht="15.6" x14ac:dyDescent="0.3">
      <c r="A3793" s="19" t="s">
        <v>8</v>
      </c>
      <c r="B3793" s="26" t="s">
        <v>3776</v>
      </c>
      <c r="C3793" s="2" t="str">
        <f ca="1">IFERROR(__xludf.DUMMYFUNCTION("GOOGLETRANSLATE(B3793, ""bn"", ""en"")"),"A Hindu neighborhood on the outskirts of Dhaka has cut off electricity to ""maintain religious purity"", a local religious leader has threatened.")</f>
        <v>A Hindu neighborhood on the outskirts of Dhaka has cut off electricity to "maintain religious purity", a local religious leader has threatened.</v>
      </c>
      <c r="D3793" s="5"/>
      <c r="E3793" s="5"/>
      <c r="F3793" s="5"/>
      <c r="G3793" s="5"/>
      <c r="H3793" s="5"/>
      <c r="I3793" s="5"/>
      <c r="J3793" s="5"/>
      <c r="K3793" s="5"/>
      <c r="L3793" s="5"/>
      <c r="M3793" s="5"/>
      <c r="N3793" s="5"/>
      <c r="O3793" s="5"/>
      <c r="P3793" s="5"/>
      <c r="Q3793" s="5"/>
      <c r="R3793" s="5"/>
      <c r="S3793" s="5"/>
      <c r="T3793" s="5"/>
      <c r="U3793" s="5"/>
      <c r="V3793" s="5"/>
      <c r="W3793" s="5"/>
      <c r="X3793" s="5"/>
      <c r="Y3793" s="5"/>
      <c r="Z3793" s="5"/>
    </row>
    <row r="3794" spans="1:26" ht="15.6" x14ac:dyDescent="0.3">
      <c r="A3794" s="18" t="s">
        <v>23</v>
      </c>
      <c r="B3794" s="25" t="s">
        <v>3777</v>
      </c>
      <c r="C3794" s="2" t="str">
        <f ca="1">IFERROR(__xludf.DUMMYFUNCTION("GOOGLETRANSLATE(B3794, ""bn"", ""en"")"),"Those who in the name of the spirit of the liberation war call the practice of religion as the activities of Jamaat-Shibir are actually not Jamaat-Shibir haters but anti-Islam.")</f>
        <v>Those who in the name of the spirit of the liberation war call the practice of religion as the activities of Jamaat-Shibir are actually not Jamaat-Shibir haters but anti-Islam.</v>
      </c>
      <c r="D3794" s="2"/>
      <c r="E3794" s="2"/>
      <c r="F3794" s="2"/>
      <c r="G3794" s="2"/>
      <c r="H3794" s="5"/>
      <c r="I3794" s="5"/>
      <c r="J3794" s="5"/>
      <c r="K3794" s="5"/>
      <c r="L3794" s="5"/>
      <c r="M3794" s="5"/>
      <c r="N3794" s="5"/>
      <c r="O3794" s="5"/>
      <c r="P3794" s="5"/>
      <c r="Q3794" s="5"/>
      <c r="R3794" s="5"/>
      <c r="S3794" s="5"/>
      <c r="T3794" s="5"/>
      <c r="U3794" s="5"/>
      <c r="V3794" s="5"/>
      <c r="W3794" s="5"/>
      <c r="X3794" s="5"/>
      <c r="Y3794" s="5"/>
      <c r="Z3794" s="5"/>
    </row>
    <row r="3795" spans="1:26" ht="15.6" x14ac:dyDescent="0.3">
      <c r="A3795" s="19" t="s">
        <v>3</v>
      </c>
      <c r="B3795" s="26" t="s">
        <v>3778</v>
      </c>
      <c r="C3795" s="2" t="str">
        <f ca="1">IFERROR(__xludf.DUMMYFUNCTION("GOOGLETRANSLATE(B3795, ""bn"", ""en"")"),"God! There is no god but He, the Living, the Sustainer of all things. Neither slumber nor sleep can touch Him.")</f>
        <v>God! There is no god but He, the Living, the Sustainer of all things. Neither slumber nor sleep can touch Him.</v>
      </c>
      <c r="D3795" s="5"/>
      <c r="E3795" s="5"/>
      <c r="F3795" s="5"/>
      <c r="G3795" s="5"/>
      <c r="H3795" s="5"/>
      <c r="I3795" s="5"/>
      <c r="J3795" s="5"/>
      <c r="K3795" s="5"/>
      <c r="L3795" s="5"/>
      <c r="M3795" s="5"/>
      <c r="N3795" s="5"/>
      <c r="O3795" s="5"/>
      <c r="P3795" s="5"/>
      <c r="Q3795" s="5"/>
      <c r="R3795" s="5"/>
      <c r="S3795" s="5"/>
      <c r="T3795" s="5"/>
      <c r="U3795" s="5"/>
      <c r="V3795" s="5"/>
      <c r="W3795" s="5"/>
      <c r="X3795" s="5"/>
      <c r="Y3795" s="5"/>
      <c r="Z3795" s="5"/>
    </row>
    <row r="3796" spans="1:26" ht="15.6" x14ac:dyDescent="0.3">
      <c r="A3796" s="18" t="s">
        <v>8</v>
      </c>
      <c r="B3796" s="25" t="s">
        <v>3779</v>
      </c>
      <c r="C3796" s="2" t="str">
        <f ca="1">IFERROR(__xludf.DUMMYFUNCTION("GOOGLETRANSLATE(B3796, ""bn"", ""en"")"),"At that time, four fully prepared Kalimurtis and 49 more Saraswati idols kept for color polishing were broken. According to the police, the culprit could not be identified.")</f>
        <v>At that time, four fully prepared Kalimurtis and 49 more Saraswati idols kept for color polishing were broken. According to the police, the culprit could not be identified.</v>
      </c>
      <c r="D3796" s="5"/>
      <c r="E3796" s="5"/>
      <c r="F3796" s="5"/>
      <c r="G3796" s="5"/>
      <c r="H3796" s="5"/>
      <c r="I3796" s="5"/>
      <c r="J3796" s="5"/>
      <c r="K3796" s="5"/>
      <c r="L3796" s="5"/>
      <c r="M3796" s="5"/>
      <c r="N3796" s="5"/>
      <c r="O3796" s="5"/>
      <c r="P3796" s="5"/>
      <c r="Q3796" s="5"/>
      <c r="R3796" s="5"/>
      <c r="S3796" s="5"/>
      <c r="T3796" s="5"/>
      <c r="U3796" s="5"/>
      <c r="V3796" s="5"/>
      <c r="W3796" s="5"/>
      <c r="X3796" s="5"/>
      <c r="Y3796" s="5"/>
      <c r="Z3796" s="5"/>
    </row>
    <row r="3797" spans="1:26" ht="15.6" x14ac:dyDescent="0.3">
      <c r="A3797" s="18" t="s">
        <v>23</v>
      </c>
      <c r="B3797" s="25" t="s">
        <v>3780</v>
      </c>
      <c r="C3797" s="2" t="str">
        <f ca="1">IFERROR(__xludf.DUMMYFUNCTION("GOOGLETRANSLATE(B3797, ""bn"", ""en"")"),"They spend more on puja than iftar. Don't buy the idol with millions of rupees and give it to the poor.")</f>
        <v>They spend more on puja than iftar. Don't buy the idol with millions of rupees and give it to the poor.</v>
      </c>
      <c r="D3797" s="5"/>
      <c r="E3797" s="5"/>
      <c r="F3797" s="5"/>
      <c r="G3797" s="5"/>
      <c r="H3797" s="5"/>
      <c r="I3797" s="5"/>
      <c r="J3797" s="5"/>
      <c r="K3797" s="5"/>
      <c r="L3797" s="5"/>
      <c r="M3797" s="5"/>
      <c r="N3797" s="5"/>
      <c r="O3797" s="5"/>
      <c r="P3797" s="5"/>
      <c r="Q3797" s="5"/>
      <c r="R3797" s="5"/>
      <c r="S3797" s="5"/>
      <c r="T3797" s="5"/>
      <c r="U3797" s="5"/>
      <c r="V3797" s="5"/>
      <c r="W3797" s="5"/>
      <c r="X3797" s="5"/>
      <c r="Y3797" s="5"/>
      <c r="Z3797" s="5"/>
    </row>
    <row r="3798" spans="1:26" ht="15.6" x14ac:dyDescent="0.3">
      <c r="A3798" s="18" t="s">
        <v>23</v>
      </c>
      <c r="B3798" s="25" t="s">
        <v>3781</v>
      </c>
      <c r="C3798" s="2" t="str">
        <f ca="1">IFERROR(__xludf.DUMMYFUNCTION("GOOGLETRANSLATE(B3798, ""bn"", ""en"")"),"How much harassment has been done for posting the picture of Mushfiq's sacrifice. Those who harassed are crying for Chanchal today. They are shameless, shameless.")</f>
        <v>How much harassment has been done for posting the picture of Mushfiq's sacrifice. Those who harassed are crying for Chanchal today. They are shameless, shameless.</v>
      </c>
      <c r="D3798" s="2"/>
      <c r="E3798" s="2"/>
      <c r="F3798" s="2"/>
      <c r="G3798" s="2"/>
      <c r="H3798" s="3"/>
      <c r="I3798" s="3"/>
      <c r="J3798" s="3"/>
      <c r="K3798" s="3"/>
      <c r="L3798" s="3"/>
      <c r="M3798" s="3"/>
      <c r="N3798" s="3"/>
      <c r="O3798" s="3"/>
      <c r="P3798" s="3"/>
      <c r="Q3798" s="3"/>
      <c r="R3798" s="3"/>
      <c r="S3798" s="3"/>
      <c r="T3798" s="3"/>
      <c r="U3798" s="3"/>
      <c r="V3798" s="3"/>
      <c r="W3798" s="3"/>
      <c r="X3798" s="3"/>
      <c r="Y3798" s="3"/>
      <c r="Z3798" s="3"/>
    </row>
    <row r="3799" spans="1:26" ht="15.6" x14ac:dyDescent="0.3">
      <c r="A3799" s="18" t="s">
        <v>5</v>
      </c>
      <c r="B3799" s="24" t="s">
        <v>3782</v>
      </c>
      <c r="C3799" s="2" t="str">
        <f ca="1">IFERROR(__xludf.DUMMYFUNCTION("GOOGLETRANSLATE(B3799, ""bn"", ""en"")"),"In November 2019, a religious group bombed a church, killing 42 people; The church was completely destroyed.")</f>
        <v>In November 2019, a religious group bombed a church, killing 42 people; The church was completely destroyed.</v>
      </c>
      <c r="D3799" s="5"/>
      <c r="E3799" s="5"/>
      <c r="F3799" s="5"/>
      <c r="G3799" s="5"/>
      <c r="H3799" s="5"/>
      <c r="I3799" s="5"/>
      <c r="J3799" s="5"/>
      <c r="K3799" s="5"/>
      <c r="L3799" s="5"/>
      <c r="M3799" s="5"/>
      <c r="N3799" s="5"/>
      <c r="O3799" s="5"/>
      <c r="P3799" s="5"/>
      <c r="Q3799" s="5"/>
      <c r="R3799" s="5"/>
      <c r="S3799" s="5"/>
      <c r="T3799" s="5"/>
      <c r="U3799" s="5"/>
      <c r="V3799" s="5"/>
      <c r="W3799" s="5"/>
      <c r="X3799" s="5"/>
      <c r="Y3799" s="5"/>
      <c r="Z3799" s="5"/>
    </row>
    <row r="3800" spans="1:26" ht="15.6" x14ac:dyDescent="0.3">
      <c r="A3800" s="19" t="s">
        <v>5</v>
      </c>
      <c r="B3800" s="26" t="s">
        <v>3783</v>
      </c>
      <c r="C3800" s="2" t="str">
        <f ca="1">IFERROR(__xludf.DUMMYFUNCTION("GOOGLETRANSLATE(B3800, ""bn"", ""en"")"),"Residents of Santal village of Rajshahi division were attacked, detained and women were raped. On December 10, a mob looted and occupied the Puthia Rajbari and surrounding houses.")</f>
        <v>Residents of Santal village of Rajshahi division were attacked, detained and women were raped. On December 10, a mob looted and occupied the Puthia Rajbari and surrounding houses.</v>
      </c>
      <c r="D3800" s="7"/>
      <c r="E3800" s="7"/>
      <c r="F3800" s="7"/>
      <c r="G3800" s="7"/>
      <c r="H3800" s="7"/>
      <c r="I3800" s="7"/>
      <c r="J3800" s="7"/>
      <c r="K3800" s="7"/>
      <c r="L3800" s="7"/>
      <c r="M3800" s="7"/>
      <c r="N3800" s="7"/>
      <c r="O3800" s="5"/>
      <c r="P3800" s="5"/>
      <c r="Q3800" s="5"/>
      <c r="R3800" s="5"/>
      <c r="S3800" s="5"/>
      <c r="T3800" s="5"/>
      <c r="U3800" s="5"/>
      <c r="V3800" s="5"/>
      <c r="W3800" s="5"/>
      <c r="X3800" s="5"/>
      <c r="Y3800" s="5"/>
      <c r="Z3800" s="5"/>
    </row>
    <row r="3801" spans="1:26" ht="15.6" x14ac:dyDescent="0.3">
      <c r="A3801" s="18" t="s">
        <v>23</v>
      </c>
      <c r="B3801" s="25" t="s">
        <v>3784</v>
      </c>
      <c r="C3801" s="2" t="str">
        <f ca="1">IFERROR(__xludf.DUMMYFUNCTION("GOOGLETRANSLATE(B3801, ""bn"", ""en"")"),"Failure to enforce 295(a) against those who insult Islam will prove that the state is a friend of infidels and fails to protect the rights of Muslims.")</f>
        <v>Failure to enforce 295(a) against those who insult Islam will prove that the state is a friend of infidels and fails to protect the rights of Muslims.</v>
      </c>
      <c r="D3801" s="5"/>
      <c r="E3801" s="5"/>
      <c r="F3801" s="5"/>
      <c r="G3801" s="5"/>
      <c r="H3801" s="5"/>
      <c r="I3801" s="5"/>
      <c r="J3801" s="5"/>
      <c r="K3801" s="5"/>
      <c r="L3801" s="5"/>
      <c r="M3801" s="5"/>
      <c r="N3801" s="5"/>
      <c r="O3801" s="5"/>
      <c r="P3801" s="5"/>
      <c r="Q3801" s="5"/>
      <c r="R3801" s="5"/>
      <c r="S3801" s="5"/>
      <c r="T3801" s="5"/>
      <c r="U3801" s="5"/>
      <c r="V3801" s="5"/>
      <c r="W3801" s="5"/>
      <c r="X3801" s="5"/>
      <c r="Y3801" s="5"/>
      <c r="Z3801" s="5"/>
    </row>
    <row r="3802" spans="1:26" ht="15.6" x14ac:dyDescent="0.3">
      <c r="A3802" s="18" t="s">
        <v>23</v>
      </c>
      <c r="B3802" s="24" t="s">
        <v>3785</v>
      </c>
      <c r="C3802" s="2" t="str">
        <f ca="1">IFERROR(__xludf.DUMMYFUNCTION("GOOGLETRANSLATE(B3802, ""bn"", ""en"")"),"Some members of the Buddhist community make disparaging comments about other religions that undermine religious tolerance.")</f>
        <v>Some members of the Buddhist community make disparaging comments about other religions that undermine religious tolerance.</v>
      </c>
      <c r="D3802" s="5"/>
      <c r="E3802" s="5"/>
      <c r="F3802" s="5"/>
      <c r="G3802" s="5"/>
      <c r="H3802" s="5"/>
      <c r="I3802" s="5"/>
      <c r="J3802" s="5"/>
      <c r="K3802" s="5"/>
      <c r="L3802" s="5"/>
      <c r="M3802" s="5"/>
      <c r="N3802" s="5"/>
      <c r="O3802" s="5"/>
      <c r="P3802" s="5"/>
      <c r="Q3802" s="5"/>
      <c r="R3802" s="5"/>
      <c r="S3802" s="5"/>
      <c r="T3802" s="5"/>
      <c r="U3802" s="5"/>
      <c r="V3802" s="5"/>
      <c r="W3802" s="5"/>
      <c r="X3802" s="5"/>
      <c r="Y3802" s="5"/>
      <c r="Z3802" s="5"/>
    </row>
    <row r="3803" spans="1:26" ht="15.6" x14ac:dyDescent="0.3">
      <c r="A3803" s="18" t="s">
        <v>8</v>
      </c>
      <c r="B3803" s="25" t="s">
        <v>3786</v>
      </c>
      <c r="C3803" s="2" t="str">
        <f ca="1">IFERROR(__xludf.DUMMYFUNCTION("GOOGLETRANSLATE(B3803, ""bn"", ""en"")"),"The Muslims looted and set fire to entire villages and destroyed all family temples, shrines and sacred tulsimanchas. They looted all the Hindu houses including the houses of Mahendra Chandra Dey, Kamakant Dhar, Ashwini Kumar Dey of the neighboring villag"&amp;"e Manmathpur.")</f>
        <v>The Muslims looted and set fire to entire villages and destroyed all family temples, shrines and sacred tulsimanchas. They looted all the Hindu houses including the houses of Mahendra Chandra Dey, Kamakant Dhar, Ashwini Kumar Dey of the neighboring village Manmathpur.</v>
      </c>
      <c r="D3803" s="5"/>
      <c r="E3803" s="5"/>
      <c r="F3803" s="5"/>
      <c r="G3803" s="5"/>
      <c r="H3803" s="5"/>
      <c r="I3803" s="5"/>
      <c r="J3803" s="5"/>
      <c r="K3803" s="5"/>
      <c r="L3803" s="5"/>
      <c r="M3803" s="5"/>
      <c r="N3803" s="5"/>
      <c r="O3803" s="5"/>
      <c r="P3803" s="5"/>
      <c r="Q3803" s="5"/>
      <c r="R3803" s="5"/>
      <c r="S3803" s="5"/>
      <c r="T3803" s="5"/>
      <c r="U3803" s="5"/>
      <c r="V3803" s="5"/>
      <c r="W3803" s="5"/>
      <c r="X3803" s="5"/>
      <c r="Y3803" s="5"/>
      <c r="Z3803" s="5"/>
    </row>
    <row r="3804" spans="1:26" ht="15.6" x14ac:dyDescent="0.3">
      <c r="A3804" s="19" t="s">
        <v>23</v>
      </c>
      <c r="B3804" s="26" t="s">
        <v>3787</v>
      </c>
      <c r="C3804" s="2" t="str">
        <f ca="1">IFERROR(__xludf.DUMMYFUNCTION("GOOGLETRANSLATE(B3804, ""bn"", ""en"")"),"The vulture brought a dead cow and left the pork near the mosque and the cow near the temple at the child's request.")</f>
        <v>The vulture brought a dead cow and left the pork near the mosque and the cow near the temple at the child's request.</v>
      </c>
      <c r="D3804" s="7"/>
      <c r="E3804" s="7"/>
      <c r="F3804" s="7"/>
      <c r="G3804" s="7"/>
      <c r="H3804" s="7"/>
      <c r="I3804" s="7"/>
      <c r="J3804" s="5"/>
      <c r="K3804" s="5"/>
      <c r="L3804" s="5"/>
      <c r="M3804" s="5"/>
      <c r="N3804" s="5"/>
      <c r="O3804" s="5"/>
      <c r="P3804" s="5"/>
      <c r="Q3804" s="5"/>
      <c r="R3804" s="5"/>
      <c r="S3804" s="5"/>
      <c r="T3804" s="5"/>
      <c r="U3804" s="5"/>
      <c r="V3804" s="5"/>
      <c r="W3804" s="5"/>
      <c r="X3804" s="5"/>
      <c r="Y3804" s="5"/>
      <c r="Z3804" s="5"/>
    </row>
    <row r="3805" spans="1:26" ht="15.6" x14ac:dyDescent="0.3">
      <c r="A3805" s="19" t="s">
        <v>5</v>
      </c>
      <c r="B3805" s="26" t="s">
        <v>3788</v>
      </c>
      <c r="C3805" s="2" t="str">
        <f ca="1">IFERROR(__xludf.DUMMYFUNCTION("GOOGLETRANSLATE(B3805, ""bn"", ""en"")"),"A white supremacist gunman attacked a Sikh gurdwara in Wisconsin, killing six people, an example of violence fueled by religious hatred.")</f>
        <v>A white supremacist gunman attacked a Sikh gurdwara in Wisconsin, killing six people, an example of violence fueled by religious hatred.</v>
      </c>
      <c r="D3805" s="5"/>
      <c r="E3805" s="5"/>
      <c r="F3805" s="5"/>
      <c r="G3805" s="5"/>
      <c r="H3805" s="5"/>
      <c r="I3805" s="5"/>
      <c r="J3805" s="5"/>
      <c r="K3805" s="5"/>
      <c r="L3805" s="5"/>
      <c r="M3805" s="5"/>
      <c r="N3805" s="5"/>
      <c r="O3805" s="5"/>
      <c r="P3805" s="5"/>
      <c r="Q3805" s="5"/>
      <c r="R3805" s="5"/>
      <c r="S3805" s="5"/>
      <c r="T3805" s="5"/>
      <c r="U3805" s="5"/>
      <c r="V3805" s="5"/>
      <c r="W3805" s="5"/>
      <c r="X3805" s="5"/>
      <c r="Y3805" s="5"/>
      <c r="Z3805" s="5"/>
    </row>
    <row r="3806" spans="1:26" ht="15.6" x14ac:dyDescent="0.3">
      <c r="A3806" s="18" t="s">
        <v>8</v>
      </c>
      <c r="B3806" s="25" t="s">
        <v>3789</v>
      </c>
      <c r="C3806" s="2" t="str">
        <f ca="1">IFERROR(__xludf.DUMMYFUNCTION("GOOGLETRANSLATE(B3806, ""bn"", ""en"")"),"Since April 23rd, there have been continuous attacks on the minority Hindu community in various places of Rajshahi division, murders, rapes and looting have taken place, many have been attacked at the railway station while trying to escape.")</f>
        <v>Since April 23rd, there have been continuous attacks on the minority Hindu community in various places of Rajshahi division, murders, rapes and looting have taken place, many have been attacked at the railway station while trying to escape.</v>
      </c>
      <c r="D3806" s="5"/>
      <c r="E3806" s="5"/>
      <c r="F3806" s="5"/>
      <c r="G3806" s="5"/>
      <c r="H3806" s="5"/>
      <c r="I3806" s="5"/>
      <c r="J3806" s="5"/>
      <c r="K3806" s="5"/>
      <c r="L3806" s="5"/>
      <c r="M3806" s="5"/>
      <c r="N3806" s="5"/>
      <c r="O3806" s="5"/>
      <c r="P3806" s="5"/>
      <c r="Q3806" s="5"/>
      <c r="R3806" s="5"/>
      <c r="S3806" s="5"/>
      <c r="T3806" s="5"/>
      <c r="U3806" s="5"/>
      <c r="V3806" s="5"/>
      <c r="W3806" s="5"/>
      <c r="X3806" s="5"/>
      <c r="Y3806" s="5"/>
      <c r="Z3806" s="5"/>
    </row>
    <row r="3807" spans="1:26" ht="15.6" x14ac:dyDescent="0.3">
      <c r="A3807" s="18" t="s">
        <v>8</v>
      </c>
      <c r="B3807" s="25" t="s">
        <v>3790</v>
      </c>
      <c r="C3807" s="2" t="str">
        <f ca="1">IFERROR(__xludf.DUMMYFUNCTION("GOOGLETRANSLATE(B3807, ""bn"", ""en"")"),"There is no information in history that Bakhtiyar Khilji did any kind of torture on Buddhists, but Bakhtiyar Khilji led an army campaign to conquer Bengal at the call of Buddhists. Even after the conquest of Bengal, he refrained from collecting Jizya tax "&amp;"from the Buddhists.")</f>
        <v>There is no information in history that Bakhtiyar Khilji did any kind of torture on Buddhists, but Bakhtiyar Khilji led an army campaign to conquer Bengal at the call of Buddhists. Even after the conquest of Bengal, he refrained from collecting Jizya tax from the Buddhists.</v>
      </c>
      <c r="D3807" s="5"/>
      <c r="E3807" s="5"/>
      <c r="F3807" s="5"/>
      <c r="G3807" s="5"/>
      <c r="H3807" s="5"/>
      <c r="I3807" s="5"/>
      <c r="J3807" s="5"/>
      <c r="K3807" s="5"/>
      <c r="L3807" s="5"/>
      <c r="M3807" s="5"/>
      <c r="N3807" s="5"/>
      <c r="O3807" s="5"/>
      <c r="P3807" s="5"/>
      <c r="Q3807" s="5"/>
      <c r="R3807" s="5"/>
      <c r="S3807" s="5"/>
      <c r="T3807" s="5"/>
      <c r="U3807" s="5"/>
      <c r="V3807" s="5"/>
      <c r="W3807" s="5"/>
      <c r="X3807" s="5"/>
      <c r="Y3807" s="5"/>
      <c r="Z3807" s="5"/>
    </row>
    <row r="3808" spans="1:26" ht="15.6" x14ac:dyDescent="0.3">
      <c r="A3808" s="19" t="s">
        <v>23</v>
      </c>
      <c r="B3808" s="26" t="s">
        <v>3791</v>
      </c>
      <c r="C3808" s="2" t="str">
        <f ca="1">IFERROR(__xludf.DUMMYFUNCTION("GOOGLETRANSLATE(B3808, ""bn"", ""en"")"),"Allah does not know what punishment you will give to these infidels. Allah who insult your Quran. You punish them in such a way that no one else will do such a thing.")</f>
        <v>Allah does not know what punishment you will give to these infidels. Allah who insult your Quran. You punish them in such a way that no one else will do such a thing.</v>
      </c>
      <c r="D3808" s="5"/>
      <c r="E3808" s="5"/>
      <c r="F3808" s="5"/>
      <c r="G3808" s="5"/>
      <c r="H3808" s="5"/>
      <c r="I3808" s="5"/>
      <c r="J3808" s="5"/>
      <c r="K3808" s="5"/>
      <c r="L3808" s="5"/>
      <c r="M3808" s="5"/>
      <c r="N3808" s="5"/>
      <c r="O3808" s="5"/>
      <c r="P3808" s="5"/>
      <c r="Q3808" s="5"/>
      <c r="R3808" s="5"/>
      <c r="S3808" s="5"/>
      <c r="T3808" s="5"/>
      <c r="U3808" s="5"/>
      <c r="V3808" s="5"/>
      <c r="W3808" s="5"/>
      <c r="X3808" s="5"/>
      <c r="Y3808" s="5"/>
      <c r="Z3808" s="5"/>
    </row>
    <row r="3809" spans="1:26" ht="15.6" x14ac:dyDescent="0.3">
      <c r="A3809" s="18" t="s">
        <v>8</v>
      </c>
      <c r="B3809" s="25" t="s">
        <v>3792</v>
      </c>
      <c r="C3809" s="2" t="str">
        <f ca="1">IFERROR(__xludf.DUMMYFUNCTION("GOOGLETRANSLATE(B3809, ""bn"", ""en"")"),"The Mayor attempted a cleanliness drive to spread awareness about Hinduism and other hate crimes. A 17-year-old was arrested for the attack on the temple.[")</f>
        <v>The Mayor attempted a cleanliness drive to spread awareness about Hinduism and other hate crimes. A 17-year-old was arrested for the attack on the temple.[</v>
      </c>
      <c r="D3809" s="5"/>
      <c r="E3809" s="5"/>
      <c r="F3809" s="5"/>
      <c r="G3809" s="5"/>
      <c r="H3809" s="5"/>
      <c r="I3809" s="5"/>
      <c r="J3809" s="5"/>
      <c r="K3809" s="5"/>
      <c r="L3809" s="5"/>
      <c r="M3809" s="5"/>
      <c r="N3809" s="5"/>
      <c r="O3809" s="5"/>
      <c r="P3809" s="5"/>
      <c r="Q3809" s="5"/>
      <c r="R3809" s="5"/>
      <c r="S3809" s="5"/>
      <c r="T3809" s="5"/>
      <c r="U3809" s="5"/>
      <c r="V3809" s="5"/>
      <c r="W3809" s="5"/>
      <c r="X3809" s="5"/>
      <c r="Y3809" s="5"/>
      <c r="Z3809" s="5"/>
    </row>
    <row r="3810" spans="1:26" ht="15.6" x14ac:dyDescent="0.3">
      <c r="A3810" s="19" t="s">
        <v>23</v>
      </c>
      <c r="B3810" s="26" t="s">
        <v>3793</v>
      </c>
      <c r="C3810" s="2" t="str">
        <f ca="1">IFERROR(__xludf.DUMMYFUNCTION("GOOGLETRANSLATE(B3810, ""bn"", ""en"")"),"Looking at pictures of unknown women or looking directly at them is against the Shari'ah and is Haraam, as it includes Jinnah of the eyes.")</f>
        <v>Looking at pictures of unknown women or looking directly at them is against the Shari'ah and is Haraam, as it includes Jinnah of the eyes.</v>
      </c>
      <c r="D3810" s="7"/>
      <c r="E3810" s="7"/>
      <c r="F3810" s="7"/>
      <c r="G3810" s="7"/>
      <c r="H3810" s="7"/>
      <c r="I3810" s="5"/>
      <c r="J3810" s="5"/>
      <c r="K3810" s="5"/>
      <c r="L3810" s="5"/>
      <c r="M3810" s="5"/>
      <c r="N3810" s="5"/>
      <c r="O3810" s="5"/>
      <c r="P3810" s="5"/>
      <c r="Q3810" s="5"/>
      <c r="R3810" s="5"/>
      <c r="S3810" s="5"/>
      <c r="T3810" s="5"/>
      <c r="U3810" s="5"/>
      <c r="V3810" s="5"/>
      <c r="W3810" s="5"/>
      <c r="X3810" s="5"/>
      <c r="Y3810" s="5"/>
      <c r="Z3810" s="5"/>
    </row>
    <row r="3811" spans="1:26" ht="15.6" x14ac:dyDescent="0.3">
      <c r="A3811" s="18" t="s">
        <v>3</v>
      </c>
      <c r="B3811" s="25" t="s">
        <v>3794</v>
      </c>
      <c r="C3811" s="2" t="str">
        <f ca="1">IFERROR(__xludf.DUMMYFUNCTION("GOOGLETRANSLATE(B3811, ""bn"", ""en"")"),"I don't think any person from Hindu community is involved in this act, but if someone is found to be involved, then there are law, police and intelligence agencies in the country to find out the truth and bring the culprit to justice, that should be it.")</f>
        <v>I don't think any person from Hindu community is involved in this act, but if someone is found to be involved, then there are law, police and intelligence agencies in the country to find out the truth and bring the culprit to justice, that should be it.</v>
      </c>
      <c r="D3811" s="5"/>
      <c r="E3811" s="5"/>
      <c r="F3811" s="5"/>
      <c r="G3811" s="5"/>
      <c r="H3811" s="5"/>
      <c r="I3811" s="5"/>
      <c r="J3811" s="5"/>
      <c r="K3811" s="5"/>
      <c r="L3811" s="5"/>
      <c r="M3811" s="5"/>
      <c r="N3811" s="5"/>
      <c r="O3811" s="5"/>
      <c r="P3811" s="5"/>
      <c r="Q3811" s="5"/>
      <c r="R3811" s="5"/>
      <c r="S3811" s="5"/>
      <c r="T3811" s="5"/>
      <c r="U3811" s="5"/>
      <c r="V3811" s="5"/>
      <c r="W3811" s="5"/>
      <c r="X3811" s="5"/>
      <c r="Y3811" s="5"/>
      <c r="Z3811" s="5"/>
    </row>
    <row r="3812" spans="1:26" ht="15.6" x14ac:dyDescent="0.3">
      <c r="A3812" s="18" t="s">
        <v>3</v>
      </c>
      <c r="B3812" s="25" t="s">
        <v>3795</v>
      </c>
      <c r="C3812" s="2" t="str">
        <f ca="1">IFERROR(__xludf.DUMMYFUNCTION("GOOGLETRANSLATE(B3812, ""bn"", ""en"")"),"Adhering to Allah's rules allows us to follow the path of social correctness and justice, which increases our dignity.")</f>
        <v>Adhering to Allah's rules allows us to follow the path of social correctness and justice, which increases our dignity.</v>
      </c>
      <c r="D3812" s="2"/>
      <c r="E3812" s="2"/>
      <c r="F3812" s="2"/>
      <c r="G3812" s="2"/>
      <c r="H3812" s="5"/>
      <c r="I3812" s="5"/>
      <c r="J3812" s="5"/>
      <c r="K3812" s="5"/>
      <c r="L3812" s="5"/>
      <c r="M3812" s="5"/>
      <c r="N3812" s="5"/>
      <c r="O3812" s="5"/>
      <c r="P3812" s="5"/>
      <c r="Q3812" s="5"/>
      <c r="R3812" s="5"/>
      <c r="S3812" s="5"/>
      <c r="T3812" s="5"/>
      <c r="U3812" s="5"/>
      <c r="V3812" s="5"/>
      <c r="W3812" s="5"/>
      <c r="X3812" s="5"/>
      <c r="Y3812" s="5"/>
      <c r="Z3812" s="5"/>
    </row>
    <row r="3813" spans="1:26" ht="15.6" x14ac:dyDescent="0.3">
      <c r="A3813" s="19" t="s">
        <v>3</v>
      </c>
      <c r="B3813" s="26" t="s">
        <v>3796</v>
      </c>
      <c r="C3813" s="2" t="str">
        <f ca="1">IFERROR(__xludf.DUMMYFUNCTION("GOOGLETRANSLATE(B3813, ""bn"", ""en"")"),"Ramadan brings the joy of the glory of forgiveness to the sinful heart - what could be more joyous?")</f>
        <v>Ramadan brings the joy of the glory of forgiveness to the sinful heart - what could be more joyous?</v>
      </c>
      <c r="D3813" s="5"/>
      <c r="E3813" s="5"/>
      <c r="F3813" s="5"/>
      <c r="G3813" s="5"/>
      <c r="H3813" s="5"/>
      <c r="I3813" s="5"/>
      <c r="J3813" s="5"/>
      <c r="K3813" s="5"/>
      <c r="L3813" s="5"/>
      <c r="M3813" s="5"/>
      <c r="N3813" s="5"/>
      <c r="O3813" s="5"/>
      <c r="P3813" s="5"/>
      <c r="Q3813" s="5"/>
      <c r="R3813" s="5"/>
      <c r="S3813" s="5"/>
      <c r="T3813" s="5"/>
      <c r="U3813" s="5"/>
      <c r="V3813" s="5"/>
      <c r="W3813" s="5"/>
      <c r="X3813" s="5"/>
      <c r="Y3813" s="5"/>
      <c r="Z3813" s="5"/>
    </row>
    <row r="3814" spans="1:26" ht="15.6" x14ac:dyDescent="0.3">
      <c r="A3814" s="19" t="s">
        <v>8</v>
      </c>
      <c r="B3814" s="26" t="s">
        <v>3797</v>
      </c>
      <c r="C3814" s="2" t="str">
        <f ca="1">IFERROR(__xludf.DUMMYFUNCTION("GOOGLETRANSLATE(B3814, ""bn"", ""en"")"),"I respect the Bible, Gita, all religious books, unfortunately, I condemn the Muslims for burning Al-Quran and creating a different paradigm...May Allah protect the Holy Quran, Amen.")</f>
        <v>I respect the Bible, Gita, all religious books, unfortunately, I condemn the Muslims for burning Al-Quran and creating a different paradigm...May Allah protect the Holy Quran, Amen.</v>
      </c>
      <c r="D3814" s="5"/>
      <c r="E3814" s="5"/>
      <c r="F3814" s="5"/>
      <c r="G3814" s="5"/>
      <c r="H3814" s="5"/>
      <c r="I3814" s="5"/>
      <c r="J3814" s="5"/>
      <c r="K3814" s="5"/>
      <c r="L3814" s="5"/>
      <c r="M3814" s="5"/>
      <c r="N3814" s="5"/>
      <c r="O3814" s="5"/>
      <c r="P3814" s="5"/>
      <c r="Q3814" s="5"/>
      <c r="R3814" s="5"/>
      <c r="S3814" s="5"/>
      <c r="T3814" s="5"/>
      <c r="U3814" s="5"/>
      <c r="V3814" s="5"/>
      <c r="W3814" s="5"/>
      <c r="X3814" s="5"/>
      <c r="Y3814" s="5"/>
      <c r="Z3814" s="5"/>
    </row>
    <row r="3815" spans="1:26" ht="15.6" x14ac:dyDescent="0.3">
      <c r="A3815" s="19" t="s">
        <v>3</v>
      </c>
      <c r="B3815" s="26" t="s">
        <v>3798</v>
      </c>
      <c r="C3815" s="2" t="str">
        <f ca="1">IFERROR(__xludf.DUMMYFUNCTION("GOOGLETRANSLATE(B3815, ""bn"", ""en"")"),"The mosque has been there for 75 years, the Hindu community also knows it. In 2015, MP Manoranjan Sheel Gopal also made a donation there, which is evidenced.")</f>
        <v>The mosque has been there for 75 years, the Hindu community also knows it. In 2015, MP Manoranjan Sheel Gopal also made a donation there, which is evidenced.</v>
      </c>
      <c r="D3815" s="7"/>
      <c r="E3815" s="7"/>
      <c r="F3815" s="7"/>
      <c r="G3815" s="7"/>
      <c r="H3815" s="7"/>
      <c r="I3815" s="7"/>
      <c r="J3815" s="7"/>
      <c r="K3815" s="5"/>
      <c r="L3815" s="5"/>
      <c r="M3815" s="5"/>
      <c r="N3815" s="5"/>
      <c r="O3815" s="5"/>
      <c r="P3815" s="5"/>
      <c r="Q3815" s="5"/>
      <c r="R3815" s="5"/>
      <c r="S3815" s="5"/>
      <c r="T3815" s="5"/>
      <c r="U3815" s="5"/>
      <c r="V3815" s="5"/>
      <c r="W3815" s="5"/>
      <c r="X3815" s="5"/>
      <c r="Y3815" s="5"/>
      <c r="Z3815" s="5"/>
    </row>
    <row r="3816" spans="1:26" ht="15.6" x14ac:dyDescent="0.3">
      <c r="A3816" s="18" t="s">
        <v>5</v>
      </c>
      <c r="B3816" s="24" t="s">
        <v>3799</v>
      </c>
      <c r="C3816" s="2" t="str">
        <f ca="1">IFERROR(__xludf.DUMMYFUNCTION("GOOGLETRANSLATE(B3816, ""bn"", ""en"")"),"A distorted interpretation of a religious text led to gang rapes and massacres, killing at least 64 people.")</f>
        <v>A distorted interpretation of a religious text led to gang rapes and massacres, killing at least 64 people.</v>
      </c>
      <c r="D3816" s="5"/>
      <c r="E3816" s="5"/>
      <c r="F3816" s="5"/>
      <c r="G3816" s="5"/>
      <c r="H3816" s="5"/>
      <c r="I3816" s="5"/>
      <c r="J3816" s="5"/>
      <c r="K3816" s="5"/>
      <c r="L3816" s="5"/>
      <c r="M3816" s="5"/>
      <c r="N3816" s="5"/>
      <c r="O3816" s="5"/>
      <c r="P3816" s="5"/>
      <c r="Q3816" s="5"/>
      <c r="R3816" s="5"/>
      <c r="S3816" s="5"/>
      <c r="T3816" s="5"/>
      <c r="U3816" s="5"/>
      <c r="V3816" s="5"/>
      <c r="W3816" s="5"/>
      <c r="X3816" s="5"/>
      <c r="Y3816" s="5"/>
      <c r="Z3816" s="5"/>
    </row>
    <row r="3817" spans="1:26" ht="15.6" x14ac:dyDescent="0.3">
      <c r="A3817" s="18" t="s">
        <v>23</v>
      </c>
      <c r="B3817" s="25" t="s">
        <v>3800</v>
      </c>
      <c r="C3817" s="2" t="str">
        <f ca="1">IFERROR(__xludf.DUMMYFUNCTION("GOOGLETRANSLATE(B3817, ""bn"", ""en"")"),"According to demographer Ashish Basu, with the rise of Islamic fundamentalism in Afghanistan after the 1980s, Hindus became the target of ""intense hatred"".")</f>
        <v>According to demographer Ashish Basu, with the rise of Islamic fundamentalism in Afghanistan after the 1980s, Hindus became the target of "intense hatred".</v>
      </c>
      <c r="D3817" s="5"/>
      <c r="E3817" s="5"/>
      <c r="F3817" s="5"/>
      <c r="G3817" s="5"/>
      <c r="H3817" s="5"/>
      <c r="I3817" s="5"/>
      <c r="J3817" s="5"/>
      <c r="K3817" s="5"/>
      <c r="L3817" s="5"/>
      <c r="M3817" s="5"/>
      <c r="N3817" s="5"/>
      <c r="O3817" s="5"/>
      <c r="P3817" s="5"/>
      <c r="Q3817" s="5"/>
      <c r="R3817" s="5"/>
      <c r="S3817" s="5"/>
      <c r="T3817" s="5"/>
      <c r="U3817" s="5"/>
      <c r="V3817" s="5"/>
      <c r="W3817" s="5"/>
      <c r="X3817" s="5"/>
      <c r="Y3817" s="5"/>
      <c r="Z3817" s="5"/>
    </row>
    <row r="3818" spans="1:26" ht="15.6" x14ac:dyDescent="0.3">
      <c r="A3818" s="18" t="s">
        <v>5</v>
      </c>
      <c r="B3818" s="24" t="s">
        <v>3801</v>
      </c>
      <c r="C3818" s="2" t="str">
        <f ca="1">IFERROR(__xludf.DUMMYFUNCTION("GOOGLETRANSLATE(B3818, ""bn"", ""en"")"),"At least 29 people lost their lives in the Hindu-Muslim clashes in Feni and the clashes caused extensive damage.")</f>
        <v>At least 29 people lost their lives in the Hindu-Muslim clashes in Feni and the clashes caused extensive damage.</v>
      </c>
      <c r="D3818" s="5"/>
      <c r="E3818" s="5"/>
      <c r="F3818" s="5"/>
      <c r="G3818" s="5"/>
      <c r="H3818" s="5"/>
      <c r="I3818" s="5"/>
      <c r="J3818" s="5"/>
      <c r="K3818" s="5"/>
      <c r="L3818" s="5"/>
      <c r="M3818" s="5"/>
      <c r="N3818" s="5"/>
      <c r="O3818" s="5"/>
      <c r="P3818" s="5"/>
      <c r="Q3818" s="5"/>
      <c r="R3818" s="5"/>
      <c r="S3818" s="5"/>
      <c r="T3818" s="5"/>
      <c r="U3818" s="5"/>
      <c r="V3818" s="5"/>
      <c r="W3818" s="5"/>
      <c r="X3818" s="5"/>
      <c r="Y3818" s="5"/>
      <c r="Z3818" s="5"/>
    </row>
    <row r="3819" spans="1:26" ht="15.6" x14ac:dyDescent="0.3">
      <c r="A3819" s="18" t="s">
        <v>5</v>
      </c>
      <c r="B3819" s="25" t="s">
        <v>3802</v>
      </c>
      <c r="C3819" s="2" t="str">
        <f ca="1">IFERROR(__xludf.DUMMYFUNCTION("GOOGLETRANSLATE(B3819, ""bn"", ""en"")"),"Three Hindu temples in Bhagalpur Lane of Hazaribagh were looted and vandalized. They hacked and injured 17 innocent Hindus in Beltali Lane.")</f>
        <v>Three Hindu temples in Bhagalpur Lane of Hazaribagh were looted and vandalized. They hacked and injured 17 innocent Hindus in Beltali Lane.</v>
      </c>
      <c r="D3819" s="5"/>
      <c r="E3819" s="5"/>
      <c r="F3819" s="5"/>
      <c r="G3819" s="5"/>
      <c r="H3819" s="5"/>
      <c r="I3819" s="5"/>
      <c r="J3819" s="5"/>
      <c r="K3819" s="5"/>
      <c r="L3819" s="5"/>
      <c r="M3819" s="5"/>
      <c r="N3819" s="5"/>
      <c r="O3819" s="5"/>
      <c r="P3819" s="5"/>
      <c r="Q3819" s="5"/>
      <c r="R3819" s="5"/>
      <c r="S3819" s="5"/>
      <c r="T3819" s="5"/>
      <c r="U3819" s="5"/>
      <c r="V3819" s="5"/>
      <c r="W3819" s="5"/>
      <c r="X3819" s="5"/>
      <c r="Y3819" s="5"/>
      <c r="Z3819" s="5"/>
    </row>
    <row r="3820" spans="1:26" ht="15.6" x14ac:dyDescent="0.3">
      <c r="A3820" s="19" t="s">
        <v>23</v>
      </c>
      <c r="B3820" s="26" t="s">
        <v>3803</v>
      </c>
      <c r="C3820" s="2" t="str">
        <f ca="1">IFERROR(__xludf.DUMMYFUNCTION("GOOGLETRANSLATE(B3820, ""bn"", ""en"")"),"I am amazed at the limitations of those who call us bigots. They understand our posts on social media as their own and imagine in their hearts that Lifespring is a Madrasah.")</f>
        <v>I am amazed at the limitations of those who call us bigots. They understand our posts on social media as their own and imagine in their hearts that Lifespring is a Madrasah.</v>
      </c>
      <c r="D3820" s="5"/>
      <c r="E3820" s="5"/>
      <c r="F3820" s="5"/>
      <c r="G3820" s="5"/>
      <c r="H3820" s="5"/>
      <c r="I3820" s="5"/>
      <c r="J3820" s="5"/>
      <c r="K3820" s="5"/>
      <c r="L3820" s="5"/>
      <c r="M3820" s="5"/>
      <c r="N3820" s="5"/>
      <c r="O3820" s="5"/>
      <c r="P3820" s="5"/>
      <c r="Q3820" s="5"/>
      <c r="R3820" s="5"/>
      <c r="S3820" s="5"/>
      <c r="T3820" s="5"/>
      <c r="U3820" s="5"/>
      <c r="V3820" s="5"/>
      <c r="W3820" s="5"/>
      <c r="X3820" s="5"/>
      <c r="Y3820" s="5"/>
      <c r="Z3820" s="5"/>
    </row>
    <row r="3821" spans="1:26" ht="15.6" x14ac:dyDescent="0.3">
      <c r="A3821" s="19" t="s">
        <v>3</v>
      </c>
      <c r="B3821" s="26" t="s">
        <v>3804</v>
      </c>
      <c r="C3821" s="2" t="str">
        <f ca="1">IFERROR(__xludf.DUMMYFUNCTION("GOOGLETRANSLATE(B3821, ""bn"", ""en"")"),"According to classical religious narratives, the poetry of pre-Islamic Hanif Arab poets predicted the coming of a prophet.")</f>
        <v>According to classical religious narratives, the poetry of pre-Islamic Hanif Arab poets predicted the coming of a prophet.</v>
      </c>
      <c r="D3821" s="7"/>
      <c r="E3821" s="7"/>
      <c r="F3821" s="7"/>
      <c r="G3821" s="7"/>
      <c r="H3821" s="7"/>
      <c r="I3821" s="7"/>
      <c r="J3821" s="5"/>
      <c r="K3821" s="5"/>
      <c r="L3821" s="5"/>
      <c r="M3821" s="5"/>
      <c r="N3821" s="5"/>
      <c r="O3821" s="5"/>
      <c r="P3821" s="5"/>
      <c r="Q3821" s="5"/>
      <c r="R3821" s="5"/>
      <c r="S3821" s="5"/>
      <c r="T3821" s="5"/>
      <c r="U3821" s="5"/>
      <c r="V3821" s="5"/>
      <c r="W3821" s="5"/>
      <c r="X3821" s="5"/>
      <c r="Y3821" s="5"/>
      <c r="Z3821" s="5"/>
    </row>
    <row r="3822" spans="1:26" ht="15.6" x14ac:dyDescent="0.3">
      <c r="A3822" s="18" t="s">
        <v>3</v>
      </c>
      <c r="B3822" s="25" t="s">
        <v>3805</v>
      </c>
      <c r="C3822" s="2" t="str">
        <f ca="1">IFERROR(__xludf.DUMMYFUNCTION("GOOGLETRANSLATE(B3822, ""bn"", ""en"")"),"Historically, the idea that God, religion, and religious matters are sacred and therefore treated with reverence has gained importance as a means of preserving the power of religious institutions.")</f>
        <v>Historically, the idea that God, religion, and religious matters are sacred and therefore treated with reverence has gained importance as a means of preserving the power of religious institutions.</v>
      </c>
      <c r="D3822" s="5"/>
      <c r="E3822" s="5"/>
      <c r="F3822" s="5"/>
      <c r="G3822" s="5"/>
      <c r="H3822" s="5"/>
      <c r="I3822" s="5"/>
      <c r="J3822" s="5"/>
      <c r="K3822" s="5"/>
      <c r="L3822" s="5"/>
      <c r="M3822" s="5"/>
      <c r="N3822" s="5"/>
      <c r="O3822" s="5"/>
      <c r="P3822" s="5"/>
      <c r="Q3822" s="5"/>
      <c r="R3822" s="5"/>
      <c r="S3822" s="5"/>
      <c r="T3822" s="5"/>
      <c r="U3822" s="5"/>
      <c r="V3822" s="5"/>
      <c r="W3822" s="5"/>
      <c r="X3822" s="5"/>
      <c r="Y3822" s="5"/>
      <c r="Z3822" s="5"/>
    </row>
    <row r="3823" spans="1:26" ht="15.6" x14ac:dyDescent="0.3">
      <c r="A3823" s="18" t="s">
        <v>5</v>
      </c>
      <c r="B3823" s="24" t="s">
        <v>3806</v>
      </c>
      <c r="C3823" s="2" t="str">
        <f ca="1">IFERROR(__xludf.DUMMYFUNCTION("GOOGLETRANSLATE(B3823, ""bn"", ""en"")"),"In September 2017, 18 people were killed due to religious pressure on a group of minorities.")</f>
        <v>In September 2017, 18 people were killed due to religious pressure on a group of minorities.</v>
      </c>
      <c r="D3823" s="5"/>
      <c r="E3823" s="5"/>
      <c r="F3823" s="5"/>
      <c r="G3823" s="5"/>
      <c r="H3823" s="5"/>
      <c r="I3823" s="5"/>
      <c r="J3823" s="5"/>
      <c r="K3823" s="5"/>
      <c r="L3823" s="5"/>
      <c r="M3823" s="5"/>
      <c r="N3823" s="5"/>
      <c r="O3823" s="5"/>
      <c r="P3823" s="5"/>
      <c r="Q3823" s="5"/>
      <c r="R3823" s="5"/>
      <c r="S3823" s="5"/>
      <c r="T3823" s="5"/>
      <c r="U3823" s="5"/>
      <c r="V3823" s="5"/>
      <c r="W3823" s="5"/>
      <c r="X3823" s="5"/>
      <c r="Y3823" s="5"/>
      <c r="Z3823" s="5"/>
    </row>
    <row r="3824" spans="1:26" ht="15.6" x14ac:dyDescent="0.3">
      <c r="A3824" s="18" t="s">
        <v>8</v>
      </c>
      <c r="B3824" s="24" t="s">
        <v>3807</v>
      </c>
      <c r="C3824" s="2" t="str">
        <f ca="1">IFERROR(__xludf.DUMMYFUNCTION("GOOGLETRANSLATE(B3824, ""bn"", ""en"")"),"On 29 October 2022, a group of people suddenly entered and broke the structure behind the statue during the puja at Sundarganj, Gaibandha.")</f>
        <v>On 29 October 2022, a group of people suddenly entered and broke the structure behind the statue during the puja at Sundarganj, Gaibandha.</v>
      </c>
      <c r="D3824" s="5"/>
      <c r="E3824" s="5"/>
      <c r="F3824" s="5"/>
      <c r="G3824" s="5"/>
      <c r="H3824" s="5"/>
      <c r="I3824" s="5"/>
      <c r="J3824" s="5"/>
      <c r="K3824" s="5"/>
      <c r="L3824" s="5"/>
      <c r="M3824" s="5"/>
      <c r="N3824" s="5"/>
      <c r="O3824" s="5"/>
      <c r="P3824" s="5"/>
      <c r="Q3824" s="5"/>
      <c r="R3824" s="5"/>
      <c r="S3824" s="5"/>
      <c r="T3824" s="5"/>
      <c r="U3824" s="5"/>
      <c r="V3824" s="5"/>
      <c r="W3824" s="5"/>
      <c r="X3824" s="5"/>
      <c r="Y3824" s="5"/>
      <c r="Z3824" s="5"/>
    </row>
    <row r="3825" spans="1:26" ht="15.6" x14ac:dyDescent="0.3">
      <c r="A3825" s="19" t="s">
        <v>23</v>
      </c>
      <c r="B3825" s="26" t="s">
        <v>3808</v>
      </c>
      <c r="C3825" s="2" t="str">
        <f ca="1">IFERROR(__xludf.DUMMYFUNCTION("GOOGLETRANSLATE(B3825, ""bn"", ""en"")"),"Enemies of Islam will always exist, but Muslims who love the Qur'an will defeat their conspiracies and unite again inshallah.")</f>
        <v>Enemies of Islam will always exist, but Muslims who love the Qur'an will defeat their conspiracies and unite again inshallah.</v>
      </c>
      <c r="D3825" s="7"/>
      <c r="E3825" s="7"/>
      <c r="F3825" s="7"/>
      <c r="G3825" s="7"/>
      <c r="H3825" s="7"/>
      <c r="I3825" s="7"/>
      <c r="J3825" s="5"/>
      <c r="K3825" s="5"/>
      <c r="L3825" s="5"/>
      <c r="M3825" s="5"/>
      <c r="N3825" s="5"/>
      <c r="O3825" s="5"/>
      <c r="P3825" s="5"/>
      <c r="Q3825" s="5"/>
      <c r="R3825" s="5"/>
      <c r="S3825" s="5"/>
      <c r="T3825" s="5"/>
      <c r="U3825" s="5"/>
      <c r="V3825" s="5"/>
      <c r="W3825" s="5"/>
      <c r="X3825" s="5"/>
      <c r="Y3825" s="5"/>
      <c r="Z3825" s="5"/>
    </row>
    <row r="3826" spans="1:26" ht="15.6" x14ac:dyDescent="0.3">
      <c r="A3826" s="18" t="s">
        <v>8</v>
      </c>
      <c r="B3826" s="25" t="s">
        <v>3809</v>
      </c>
      <c r="C3826" s="2" t="str">
        <f ca="1">IFERROR(__xludf.DUMMYFUNCTION("GOOGLETRANSLATE(B3826, ""bn"", ""en"")"),"Thousands of Muslims from different villages may come and gather at the gathering place, so it was announced by beating drums in various market places of the village on March 20. The frightened Hindus are afraid of rioting after hearing the news of the Mu"&amp;"slim gathering. They started fleeing from their homes and shelters.")</f>
        <v>Thousands of Muslims from different villages may come and gather at the gathering place, so it was announced by beating drums in various market places of the village on March 20. The frightened Hindus are afraid of rioting after hearing the news of the Muslim gathering. They started fleeing from their homes and shelters.</v>
      </c>
      <c r="D3826" s="5"/>
      <c r="E3826" s="5"/>
      <c r="F3826" s="5"/>
      <c r="G3826" s="5"/>
      <c r="H3826" s="5"/>
      <c r="I3826" s="5"/>
      <c r="J3826" s="5"/>
      <c r="K3826" s="5"/>
      <c r="L3826" s="5"/>
      <c r="M3826" s="5"/>
      <c r="N3826" s="5"/>
      <c r="O3826" s="5"/>
      <c r="P3826" s="5"/>
      <c r="Q3826" s="5"/>
      <c r="R3826" s="5"/>
      <c r="S3826" s="5"/>
      <c r="T3826" s="5"/>
      <c r="U3826" s="5"/>
      <c r="V3826" s="5"/>
      <c r="W3826" s="5"/>
      <c r="X3826" s="5"/>
      <c r="Y3826" s="5"/>
      <c r="Z3826" s="5"/>
    </row>
    <row r="3827" spans="1:26" ht="15.6" x14ac:dyDescent="0.3">
      <c r="A3827" s="18" t="s">
        <v>5</v>
      </c>
      <c r="B3827" s="24" t="s">
        <v>3810</v>
      </c>
      <c r="C3827" s="2" t="str">
        <f ca="1">IFERROR(__xludf.DUMMYFUNCTION("GOOGLETRANSLATE(B3827, ""bn"", ""en"")"),"45 people were killed in religious riots in Rangpur. As the police failed to quell the violence, the government ordered everyone to remain calm. Many minority families leave the village for safety.")</f>
        <v>45 people were killed in religious riots in Rangpur. As the police failed to quell the violence, the government ordered everyone to remain calm. Many minority families leave the village for safety.</v>
      </c>
      <c r="D3827" s="5"/>
      <c r="E3827" s="5"/>
      <c r="F3827" s="5"/>
      <c r="G3827" s="5"/>
      <c r="H3827" s="5"/>
      <c r="I3827" s="5"/>
      <c r="J3827" s="5"/>
      <c r="K3827" s="5"/>
      <c r="L3827" s="5"/>
      <c r="M3827" s="5"/>
      <c r="N3827" s="5"/>
      <c r="O3827" s="5"/>
      <c r="P3827" s="5"/>
      <c r="Q3827" s="5"/>
      <c r="R3827" s="5"/>
      <c r="S3827" s="5"/>
      <c r="T3827" s="5"/>
      <c r="U3827" s="5"/>
      <c r="V3827" s="5"/>
      <c r="W3827" s="5"/>
      <c r="X3827" s="5"/>
      <c r="Y3827" s="5"/>
      <c r="Z3827" s="5"/>
    </row>
    <row r="3828" spans="1:26" ht="15.6" x14ac:dyDescent="0.3">
      <c r="A3828" s="18" t="s">
        <v>23</v>
      </c>
      <c r="B3828" s="25" t="s">
        <v>3811</v>
      </c>
      <c r="C3828" s="2" t="str">
        <f ca="1">IFERROR(__xludf.DUMMYFUNCTION("GOOGLETRANSLATE(B3828, ""bn"", ""en"")"),"Apart from the university-centric conspiracy, who is behind the burning of sugar warehouses imported from Brazil, the imposition of high tariffs on dates as luxury goods, and making the month of Ramadan difficult for Muslims? Think about it, try to think!")</f>
        <v>Apart from the university-centric conspiracy, who is behind the burning of sugar warehouses imported from Brazil, the imposition of high tariffs on dates as luxury goods, and making the month of Ramadan difficult for Muslims? Think about it, try to think!</v>
      </c>
      <c r="D3828" s="5"/>
      <c r="E3828" s="5"/>
      <c r="F3828" s="5"/>
      <c r="G3828" s="5"/>
      <c r="H3828" s="5"/>
      <c r="I3828" s="5"/>
      <c r="J3828" s="5"/>
      <c r="K3828" s="5"/>
      <c r="L3828" s="5"/>
      <c r="M3828" s="5"/>
      <c r="N3828" s="5"/>
      <c r="O3828" s="5"/>
      <c r="P3828" s="5"/>
      <c r="Q3828" s="5"/>
      <c r="R3828" s="5"/>
      <c r="S3828" s="5"/>
      <c r="T3828" s="5"/>
      <c r="U3828" s="5"/>
      <c r="V3828" s="5"/>
      <c r="W3828" s="5"/>
      <c r="X3828" s="5"/>
      <c r="Y3828" s="5"/>
      <c r="Z3828" s="5"/>
    </row>
    <row r="3829" spans="1:26" ht="15.6" x14ac:dyDescent="0.3">
      <c r="A3829" s="19" t="s">
        <v>3</v>
      </c>
      <c r="B3829" s="26" t="s">
        <v>3812</v>
      </c>
      <c r="C3829" s="2" t="str">
        <f ca="1">IFERROR(__xludf.DUMMYFUNCTION("GOOGLETRANSLATE(B3829, ""bn"", ""en"")"),"Sin is not going to hell; Practicing samsara dharma is virtuous, which creates peace in life and paradise in the afterlife.")</f>
        <v>Sin is not going to hell; Practicing samsara dharma is virtuous, which creates peace in life and paradise in the afterlife.</v>
      </c>
      <c r="D3829" s="7"/>
      <c r="E3829" s="7"/>
      <c r="F3829" s="7"/>
      <c r="G3829" s="5"/>
      <c r="H3829" s="5"/>
      <c r="I3829" s="5"/>
      <c r="J3829" s="5"/>
      <c r="K3829" s="5"/>
      <c r="L3829" s="5"/>
      <c r="M3829" s="5"/>
      <c r="N3829" s="5"/>
      <c r="O3829" s="5"/>
      <c r="P3829" s="5"/>
      <c r="Q3829" s="5"/>
      <c r="R3829" s="5"/>
      <c r="S3829" s="5"/>
      <c r="T3829" s="5"/>
      <c r="U3829" s="5"/>
      <c r="V3829" s="5"/>
      <c r="W3829" s="5"/>
      <c r="X3829" s="5"/>
      <c r="Y3829" s="5"/>
      <c r="Z3829" s="5"/>
    </row>
    <row r="3830" spans="1:26" ht="15.6" x14ac:dyDescent="0.3">
      <c r="A3830" s="19" t="s">
        <v>8</v>
      </c>
      <c r="B3830" s="26" t="s">
        <v>3813</v>
      </c>
      <c r="C3830" s="2" t="str">
        <f ca="1">IFERROR(__xludf.DUMMYFUNCTION("GOOGLETRANSLATE(B3830, ""bn"", ""en"")"),"During a Hindu religious procession in Rajshahi, a group of rioters attacked with batons and smashed an idol symbolizing the procession.")</f>
        <v>During a Hindu religious procession in Rajshahi, a group of rioters attacked with batons and smashed an idol symbolizing the procession.</v>
      </c>
      <c r="D3830" s="5"/>
      <c r="E3830" s="5"/>
      <c r="F3830" s="5"/>
      <c r="G3830" s="5"/>
      <c r="H3830" s="5"/>
      <c r="I3830" s="5"/>
      <c r="J3830" s="5"/>
      <c r="K3830" s="5"/>
      <c r="L3830" s="5"/>
      <c r="M3830" s="5"/>
      <c r="N3830" s="5"/>
      <c r="O3830" s="5"/>
      <c r="P3830" s="5"/>
      <c r="Q3830" s="5"/>
      <c r="R3830" s="5"/>
      <c r="S3830" s="5"/>
      <c r="T3830" s="5"/>
      <c r="U3830" s="5"/>
      <c r="V3830" s="5"/>
      <c r="W3830" s="5"/>
      <c r="X3830" s="5"/>
      <c r="Y3830" s="5"/>
      <c r="Z3830" s="5"/>
    </row>
    <row r="3831" spans="1:26" ht="15.6" x14ac:dyDescent="0.3">
      <c r="A3831" s="18" t="s">
        <v>3</v>
      </c>
      <c r="B3831" s="25" t="s">
        <v>3814</v>
      </c>
      <c r="C3831" s="2" t="str">
        <f ca="1">IFERROR(__xludf.DUMMYFUNCTION("GOOGLETRANSLATE(B3831, ""bn"", ""en"")"),"This is why Vivekananda said, Where are you looking for God in front of you in many forms. God among people. God exists in all beings in the world. Make your mind a temple, God is there.")</f>
        <v>This is why Vivekananda said, Where are you looking for God in front of you in many forms. God among people. God exists in all beings in the world. Make your mind a temple, God is there.</v>
      </c>
      <c r="D3831" s="5"/>
      <c r="E3831" s="5"/>
      <c r="F3831" s="5"/>
      <c r="G3831" s="5"/>
      <c r="H3831" s="5"/>
      <c r="I3831" s="5"/>
      <c r="J3831" s="5"/>
      <c r="K3831" s="5"/>
      <c r="L3831" s="5"/>
      <c r="M3831" s="5"/>
      <c r="N3831" s="5"/>
      <c r="O3831" s="5"/>
      <c r="P3831" s="5"/>
      <c r="Q3831" s="5"/>
      <c r="R3831" s="5"/>
      <c r="S3831" s="5"/>
      <c r="T3831" s="5"/>
      <c r="U3831" s="5"/>
      <c r="V3831" s="5"/>
      <c r="W3831" s="5"/>
      <c r="X3831" s="5"/>
      <c r="Y3831" s="5"/>
      <c r="Z3831" s="5"/>
    </row>
    <row r="3832" spans="1:26" ht="15.6" x14ac:dyDescent="0.3">
      <c r="A3832" s="18" t="s">
        <v>23</v>
      </c>
      <c r="B3832" s="25" t="s">
        <v>3815</v>
      </c>
      <c r="C3832" s="2" t="str">
        <f ca="1">IFERROR(__xludf.DUMMYFUNCTION("GOOGLETRANSLATE(B3832, ""bn"", ""en"")"),"Hindus were prevented from filing any complaint at the police station and Muslims who lodged complaints were threatened by Muslims to withdraw them.")</f>
        <v>Hindus were prevented from filing any complaint at the police station and Muslims who lodged complaints were threatened by Muslims to withdraw them.</v>
      </c>
      <c r="D3832" s="2"/>
      <c r="E3832" s="2"/>
      <c r="F3832" s="2"/>
      <c r="G3832" s="2"/>
      <c r="H3832" s="5"/>
      <c r="I3832" s="5"/>
      <c r="J3832" s="5"/>
      <c r="K3832" s="5"/>
      <c r="L3832" s="5"/>
      <c r="M3832" s="5"/>
      <c r="N3832" s="5"/>
      <c r="O3832" s="5"/>
      <c r="P3832" s="5"/>
      <c r="Q3832" s="5"/>
      <c r="R3832" s="5"/>
      <c r="S3832" s="5"/>
      <c r="T3832" s="5"/>
      <c r="U3832" s="5"/>
      <c r="V3832" s="5"/>
      <c r="W3832" s="5"/>
      <c r="X3832" s="5"/>
      <c r="Y3832" s="5"/>
      <c r="Z3832" s="5"/>
    </row>
    <row r="3833" spans="1:26" ht="15.6" x14ac:dyDescent="0.3">
      <c r="A3833" s="18" t="s">
        <v>5</v>
      </c>
      <c r="B3833" s="25" t="s">
        <v>3816</v>
      </c>
      <c r="C3833" s="2" t="str">
        <f ca="1">IFERROR(__xludf.DUMMYFUNCTION("GOOGLETRANSLATE(B3833, ""bn"", ""en"")"),"A white supremacist gunman opened fire at a black church, killing 9, an example of racial and religious hatred.")</f>
        <v>A white supremacist gunman opened fire at a black church, killing 9, an example of racial and religious hatred.</v>
      </c>
      <c r="D3833" s="2"/>
      <c r="E3833" s="2"/>
      <c r="F3833" s="2"/>
      <c r="G3833" s="2"/>
      <c r="H3833" s="5"/>
      <c r="I3833" s="5"/>
      <c r="J3833" s="5"/>
      <c r="K3833" s="5"/>
      <c r="L3833" s="5"/>
      <c r="M3833" s="5"/>
      <c r="N3833" s="5"/>
      <c r="O3833" s="5"/>
      <c r="P3833" s="5"/>
      <c r="Q3833" s="5"/>
      <c r="R3833" s="5"/>
      <c r="S3833" s="5"/>
      <c r="T3833" s="5"/>
      <c r="U3833" s="5"/>
      <c r="V3833" s="5"/>
      <c r="W3833" s="5"/>
      <c r="X3833" s="5"/>
      <c r="Y3833" s="5"/>
      <c r="Z3833" s="5"/>
    </row>
    <row r="3834" spans="1:26" ht="15.6" x14ac:dyDescent="0.3">
      <c r="A3834" s="18" t="s">
        <v>3</v>
      </c>
      <c r="B3834" s="25" t="s">
        <v>3817</v>
      </c>
      <c r="C3834" s="2" t="str">
        <f ca="1">IFERROR(__xludf.DUMMYFUNCTION("GOOGLETRANSLATE(B3834, ""bn"", ""en"")"),"When I am sad, I see darkness around, I listen to his lectures. Alhamdulillah, I found the light of hope again. May Allah grant good life and good exchange to all those who are making perfect efforts to convey his words.")</f>
        <v>When I am sad, I see darkness around, I listen to his lectures. Alhamdulillah, I found the light of hope again. May Allah grant good life and good exchange to all those who are making perfect efforts to convey his words.</v>
      </c>
      <c r="D3834" s="5"/>
      <c r="E3834" s="5"/>
      <c r="F3834" s="5"/>
      <c r="G3834" s="5"/>
      <c r="H3834" s="5"/>
      <c r="I3834" s="5"/>
      <c r="J3834" s="5"/>
      <c r="K3834" s="5"/>
      <c r="L3834" s="5"/>
      <c r="M3834" s="5"/>
      <c r="N3834" s="5"/>
      <c r="O3834" s="5"/>
      <c r="P3834" s="5"/>
      <c r="Q3834" s="5"/>
      <c r="R3834" s="5"/>
      <c r="S3834" s="5"/>
      <c r="T3834" s="5"/>
      <c r="U3834" s="5"/>
      <c r="V3834" s="5"/>
      <c r="W3834" s="5"/>
      <c r="X3834" s="5"/>
      <c r="Y3834" s="5"/>
      <c r="Z3834" s="5"/>
    </row>
    <row r="3835" spans="1:26" ht="15.6" x14ac:dyDescent="0.3">
      <c r="A3835" s="18" t="s">
        <v>8</v>
      </c>
      <c r="B3835" s="25" t="s">
        <v>3818</v>
      </c>
      <c r="C3835" s="2" t="str">
        <f ca="1">IFERROR(__xludf.DUMMYFUNCTION("GOOGLETRANSLATE(B3835, ""bn"", ""en"")"),"In Bagerhat, Hindu houses were set on fire and a nearby temple was attacked on charges of religious insult. Police arrested seven people involved in the incident on April 12.[")</f>
        <v>In Bagerhat, Hindu houses were set on fire and a nearby temple was attacked on charges of religious insult. Police arrested seven people involved in the incident on April 12.[</v>
      </c>
      <c r="D3835" s="5"/>
      <c r="E3835" s="5"/>
      <c r="F3835" s="5"/>
      <c r="G3835" s="5"/>
      <c r="H3835" s="5"/>
      <c r="I3835" s="5"/>
      <c r="J3835" s="5"/>
      <c r="K3835" s="5"/>
      <c r="L3835" s="5"/>
      <c r="M3835" s="5"/>
      <c r="N3835" s="5"/>
      <c r="O3835" s="5"/>
      <c r="P3835" s="5"/>
      <c r="Q3835" s="5"/>
      <c r="R3835" s="5"/>
      <c r="S3835" s="5"/>
      <c r="T3835" s="5"/>
      <c r="U3835" s="5"/>
      <c r="V3835" s="5"/>
      <c r="W3835" s="5"/>
      <c r="X3835" s="5"/>
      <c r="Y3835" s="5"/>
      <c r="Z3835" s="5"/>
    </row>
    <row r="3836" spans="1:26" ht="15.6" x14ac:dyDescent="0.3">
      <c r="A3836" s="18" t="s">
        <v>8</v>
      </c>
      <c r="B3836" s="25" t="s">
        <v>3819</v>
      </c>
      <c r="C3836" s="2" t="str">
        <f ca="1">IFERROR(__xludf.DUMMYFUNCTION("GOOGLETRANSLATE(B3836, ""bn"", ""en"")"),"Within a month of Partition, Muslims attacked Janmashtami processions in Dhaka. In 1948, the famous Dhamrai Rath Yatra and Janmashtami processions were banned.")</f>
        <v>Within a month of Partition, Muslims attacked Janmashtami processions in Dhaka. In 1948, the famous Dhamrai Rath Yatra and Janmashtami processions were banned.</v>
      </c>
      <c r="D3836" s="2"/>
      <c r="E3836" s="2"/>
      <c r="F3836" s="2"/>
      <c r="G3836" s="2"/>
      <c r="H3836" s="3"/>
      <c r="I3836" s="3"/>
      <c r="J3836" s="3"/>
      <c r="K3836" s="3"/>
      <c r="L3836" s="3"/>
      <c r="M3836" s="3"/>
      <c r="N3836" s="3"/>
      <c r="O3836" s="3"/>
      <c r="P3836" s="3"/>
      <c r="Q3836" s="3"/>
      <c r="R3836" s="3"/>
      <c r="S3836" s="3"/>
      <c r="T3836" s="3"/>
      <c r="U3836" s="3"/>
      <c r="V3836" s="3"/>
      <c r="W3836" s="3"/>
      <c r="X3836" s="3"/>
      <c r="Y3836" s="3"/>
      <c r="Z3836" s="3"/>
    </row>
    <row r="3837" spans="1:26" ht="15.6" x14ac:dyDescent="0.3">
      <c r="A3837" s="19" t="s">
        <v>3</v>
      </c>
      <c r="B3837" s="26" t="s">
        <v>3820</v>
      </c>
      <c r="C3837" s="2" t="str">
        <f ca="1">IFERROR(__xludf.DUMMYFUNCTION("GOOGLETRANSLATE(B3837, ""bn"", ""en"")"),"In the Quran, mankind is called the best of creation, they work to establish peace and justice. Satan objected to human creation.")</f>
        <v>In the Quran, mankind is called the best of creation, they work to establish peace and justice. Satan objected to human creation.</v>
      </c>
      <c r="D3837" s="7"/>
      <c r="E3837" s="7"/>
      <c r="F3837" s="7"/>
      <c r="G3837" s="7"/>
      <c r="H3837" s="7"/>
      <c r="I3837" s="7"/>
      <c r="J3837" s="5"/>
      <c r="K3837" s="5"/>
      <c r="L3837" s="5"/>
      <c r="M3837" s="5"/>
      <c r="N3837" s="5"/>
      <c r="O3837" s="5"/>
      <c r="P3837" s="5"/>
      <c r="Q3837" s="5"/>
      <c r="R3837" s="5"/>
      <c r="S3837" s="5"/>
      <c r="T3837" s="5"/>
      <c r="U3837" s="5"/>
      <c r="V3837" s="5"/>
      <c r="W3837" s="5"/>
      <c r="X3837" s="5"/>
      <c r="Y3837" s="5"/>
      <c r="Z3837" s="5"/>
    </row>
    <row r="3838" spans="1:26" ht="15.6" x14ac:dyDescent="0.3">
      <c r="A3838" s="18" t="s">
        <v>5</v>
      </c>
      <c r="B3838" s="25" t="s">
        <v>3821</v>
      </c>
      <c r="C3838" s="2" t="str">
        <f ca="1">IFERROR(__xludf.DUMMYFUNCTION("GOOGLETRANSLATE(B3838, ""bn"", ""en"")"),"Khairun Nahar died from the torture of these piglets. He didn't commit suicide, he was murdered")</f>
        <v>Khairun Nahar died from the torture of these piglets. He didn't commit suicide, he was murdered</v>
      </c>
      <c r="D3838" s="5"/>
      <c r="E3838" s="5"/>
      <c r="F3838" s="5"/>
      <c r="G3838" s="5"/>
      <c r="H3838" s="5"/>
      <c r="I3838" s="5"/>
      <c r="J3838" s="5"/>
      <c r="K3838" s="5"/>
      <c r="L3838" s="5"/>
      <c r="M3838" s="5"/>
      <c r="N3838" s="5"/>
      <c r="O3838" s="5"/>
      <c r="P3838" s="5"/>
      <c r="Q3838" s="5"/>
      <c r="R3838" s="5"/>
      <c r="S3838" s="5"/>
      <c r="T3838" s="5"/>
      <c r="U3838" s="5"/>
      <c r="V3838" s="5"/>
      <c r="W3838" s="5"/>
      <c r="X3838" s="5"/>
      <c r="Y3838" s="5"/>
      <c r="Z3838" s="5"/>
    </row>
    <row r="3839" spans="1:26" ht="15.6" x14ac:dyDescent="0.3">
      <c r="A3839" s="18" t="s">
        <v>8</v>
      </c>
      <c r="B3839" s="25" t="s">
        <v>3822</v>
      </c>
      <c r="C3839" s="2" t="str">
        <f ca="1">IFERROR(__xludf.DUMMYFUNCTION("GOOGLETRANSLATE(B3839, ""bn"", ""en"")"),"Miscreants vandalized eight idols in Sindurpindi area of ​​Dhantala union, three in Collegepara area of ​​Paria union and one in Sahbajpur Nathpara area of ​​Charol union at some time of night.")</f>
        <v>Miscreants vandalized eight idols in Sindurpindi area of ​​Dhantala union, three in Collegepara area of ​​Paria union and one in Sahbajpur Nathpara area of ​​Charol union at some time of night.</v>
      </c>
      <c r="D3839" s="5"/>
      <c r="E3839" s="5"/>
      <c r="F3839" s="5"/>
      <c r="G3839" s="5"/>
      <c r="H3839" s="5"/>
      <c r="I3839" s="5"/>
      <c r="J3839" s="5"/>
      <c r="K3839" s="5"/>
      <c r="L3839" s="5"/>
      <c r="M3839" s="5"/>
      <c r="N3839" s="5"/>
      <c r="O3839" s="5"/>
      <c r="P3839" s="5"/>
      <c r="Q3839" s="5"/>
      <c r="R3839" s="5"/>
      <c r="S3839" s="5"/>
      <c r="T3839" s="5"/>
      <c r="U3839" s="5"/>
      <c r="V3839" s="5"/>
      <c r="W3839" s="5"/>
      <c r="X3839" s="5"/>
      <c r="Y3839" s="5"/>
      <c r="Z3839" s="5"/>
    </row>
    <row r="3840" spans="1:26" ht="15.6" x14ac:dyDescent="0.3">
      <c r="A3840" s="18" t="s">
        <v>8</v>
      </c>
      <c r="B3840" s="25" t="s">
        <v>3823</v>
      </c>
      <c r="C3840" s="2" t="str">
        <f ca="1">IFERROR(__xludf.DUMMYFUNCTION("GOOGLETRANSLATE(B3840, ""bn"", ""en"")"),"If you give a speech, tell me first, can you erase the history of the Buddhist Jain temples that the Hindu Brahmins destroyed?")</f>
        <v>If you give a speech, tell me first, can you erase the history of the Buddhist Jain temples that the Hindu Brahmins destroyed?</v>
      </c>
      <c r="D3840" s="2"/>
      <c r="E3840" s="2"/>
      <c r="F3840" s="2"/>
      <c r="G3840" s="2"/>
      <c r="H3840" s="3"/>
      <c r="I3840" s="3"/>
      <c r="J3840" s="3"/>
      <c r="K3840" s="3"/>
      <c r="L3840" s="3"/>
      <c r="M3840" s="3"/>
      <c r="N3840" s="3"/>
      <c r="O3840" s="3"/>
      <c r="P3840" s="3"/>
      <c r="Q3840" s="3"/>
      <c r="R3840" s="3"/>
      <c r="S3840" s="3"/>
      <c r="T3840" s="3"/>
      <c r="U3840" s="3"/>
      <c r="V3840" s="3"/>
      <c r="W3840" s="3"/>
      <c r="X3840" s="3"/>
      <c r="Y3840" s="3"/>
      <c r="Z3840" s="3"/>
    </row>
    <row r="3841" spans="1:26" ht="15.6" x14ac:dyDescent="0.3">
      <c r="A3841" s="19" t="s">
        <v>8</v>
      </c>
      <c r="B3841" s="26" t="s">
        <v>3824</v>
      </c>
      <c r="C3841" s="2" t="str">
        <f ca="1">IFERROR(__xludf.DUMMYFUNCTION("GOOGLETRANSLATE(B3841, ""bn"", ""en"")"),"In Kishoreganj, a Hindu teacher insulted Islam after spreading rumors, after which he was kicked out of the school.")</f>
        <v>In Kishoreganj, a Hindu teacher insulted Islam after spreading rumors, after which he was kicked out of the school.</v>
      </c>
      <c r="D3841" s="5"/>
      <c r="E3841" s="5"/>
      <c r="F3841" s="5"/>
      <c r="G3841" s="5"/>
      <c r="H3841" s="5"/>
      <c r="I3841" s="5"/>
      <c r="J3841" s="5"/>
      <c r="K3841" s="5"/>
      <c r="L3841" s="5"/>
      <c r="M3841" s="5"/>
      <c r="N3841" s="5"/>
      <c r="O3841" s="5"/>
      <c r="P3841" s="5"/>
      <c r="Q3841" s="5"/>
      <c r="R3841" s="5"/>
      <c r="S3841" s="5"/>
      <c r="T3841" s="5"/>
      <c r="U3841" s="5"/>
      <c r="V3841" s="5"/>
      <c r="W3841" s="5"/>
      <c r="X3841" s="5"/>
      <c r="Y3841" s="5"/>
      <c r="Z3841" s="5"/>
    </row>
    <row r="3842" spans="1:26" ht="15.6" x14ac:dyDescent="0.3">
      <c r="A3842" s="18" t="s">
        <v>5</v>
      </c>
      <c r="B3842" s="25" t="s">
        <v>3825</v>
      </c>
      <c r="C3842" s="2" t="str">
        <f ca="1">IFERROR(__xludf.DUMMYFUNCTION("GOOGLETRANSLATE(B3842, ""bn"", ""en"")"),"Two NGO workers killed in Faridpur are victims of religious extremism")</f>
        <v>Two NGO workers killed in Faridpur are victims of religious extremism</v>
      </c>
      <c r="D3842" s="2"/>
      <c r="E3842" s="2"/>
      <c r="F3842" s="2"/>
      <c r="G3842" s="2"/>
      <c r="H3842" s="3"/>
      <c r="I3842" s="3"/>
      <c r="J3842" s="3"/>
      <c r="K3842" s="3"/>
      <c r="L3842" s="3"/>
      <c r="M3842" s="3"/>
      <c r="N3842" s="3"/>
      <c r="O3842" s="3"/>
      <c r="P3842" s="3"/>
      <c r="Q3842" s="3"/>
      <c r="R3842" s="3"/>
      <c r="S3842" s="3"/>
      <c r="T3842" s="3"/>
      <c r="U3842" s="3"/>
      <c r="V3842" s="3"/>
      <c r="W3842" s="3"/>
      <c r="X3842" s="3"/>
      <c r="Y3842" s="3"/>
      <c r="Z3842" s="3"/>
    </row>
    <row r="3843" spans="1:26" ht="15.6" x14ac:dyDescent="0.3">
      <c r="A3843" s="18" t="s">
        <v>8</v>
      </c>
      <c r="B3843" s="25" t="s">
        <v>3826</v>
      </c>
      <c r="C3843" s="2" t="str">
        <f ca="1">IFERROR(__xludf.DUMMYFUNCTION("GOOGLETRANSLATE(B3843, ""bn"", ""en"")"),"In late April, Rajakars from Kharna and Allahabad villages targeted Hindu villages for torture and looting.")</f>
        <v>In late April, Rajakars from Kharna and Allahabad villages targeted Hindu villages for torture and looting.</v>
      </c>
      <c r="D3843" s="2"/>
      <c r="E3843" s="2"/>
      <c r="F3843" s="2"/>
      <c r="G3843" s="2"/>
      <c r="H3843" s="5"/>
      <c r="I3843" s="5"/>
      <c r="J3843" s="5"/>
      <c r="K3843" s="5"/>
      <c r="L3843" s="5"/>
      <c r="M3843" s="5"/>
      <c r="N3843" s="5"/>
      <c r="O3843" s="5"/>
      <c r="P3843" s="5"/>
      <c r="Q3843" s="5"/>
      <c r="R3843" s="5"/>
      <c r="S3843" s="5"/>
      <c r="T3843" s="5"/>
      <c r="U3843" s="5"/>
      <c r="V3843" s="5"/>
      <c r="W3843" s="5"/>
      <c r="X3843" s="5"/>
      <c r="Y3843" s="5"/>
      <c r="Z3843" s="5"/>
    </row>
    <row r="3844" spans="1:26" ht="15.6" x14ac:dyDescent="0.3">
      <c r="A3844" s="18" t="s">
        <v>3</v>
      </c>
      <c r="B3844" s="25" t="s">
        <v>3827</v>
      </c>
      <c r="C3844" s="2" t="str">
        <f ca="1">IFERROR(__xludf.DUMMYFUNCTION("GOOGLETRANSLATE(B3844, ""bn"", ""en"")"),"You can do one thing first get knowledge about Hindu scriptures then learn Islamic scriptures then analyze yourself which religion is true")</f>
        <v>You can do one thing first get knowledge about Hindu scriptures then learn Islamic scriptures then analyze yourself which religion is true</v>
      </c>
      <c r="D3844" s="5"/>
      <c r="E3844" s="5"/>
      <c r="F3844" s="5"/>
      <c r="G3844" s="5"/>
      <c r="H3844" s="5"/>
      <c r="I3844" s="5"/>
      <c r="J3844" s="5"/>
      <c r="K3844" s="5"/>
      <c r="L3844" s="5"/>
      <c r="M3844" s="5"/>
      <c r="N3844" s="5"/>
      <c r="O3844" s="5"/>
      <c r="P3844" s="5"/>
      <c r="Q3844" s="5"/>
      <c r="R3844" s="5"/>
      <c r="S3844" s="5"/>
      <c r="T3844" s="5"/>
      <c r="U3844" s="5"/>
      <c r="V3844" s="5"/>
      <c r="W3844" s="5"/>
      <c r="X3844" s="5"/>
      <c r="Y3844" s="5"/>
      <c r="Z3844" s="5"/>
    </row>
    <row r="3845" spans="1:26" ht="15.6" x14ac:dyDescent="0.3">
      <c r="A3845" s="19" t="s">
        <v>3</v>
      </c>
      <c r="B3845" s="26" t="s">
        <v>3828</v>
      </c>
      <c r="C3845" s="2" t="str">
        <f ca="1">IFERROR(__xludf.DUMMYFUNCTION("GOOGLETRANSLATE(B3845, ""bn"", ""en"")"),"Mahashivratri is celebrated every year on Krishna Chaturdashi in Falgun; This time the festival is on February 26, Wednesday.")</f>
        <v>Mahashivratri is celebrated every year on Krishna Chaturdashi in Falgun; This time the festival is on February 26, Wednesday.</v>
      </c>
      <c r="D3845" s="7"/>
      <c r="E3845" s="7"/>
      <c r="F3845" s="5"/>
      <c r="G3845" s="5"/>
      <c r="H3845" s="5"/>
      <c r="I3845" s="5"/>
      <c r="J3845" s="5"/>
      <c r="K3845" s="5"/>
      <c r="L3845" s="5"/>
      <c r="M3845" s="5"/>
      <c r="N3845" s="5"/>
      <c r="O3845" s="5"/>
      <c r="P3845" s="5"/>
      <c r="Q3845" s="5"/>
      <c r="R3845" s="5"/>
      <c r="S3845" s="5"/>
      <c r="T3845" s="5"/>
      <c r="U3845" s="5"/>
      <c r="V3845" s="5"/>
      <c r="W3845" s="5"/>
      <c r="X3845" s="5"/>
      <c r="Y3845" s="5"/>
      <c r="Z3845" s="5"/>
    </row>
    <row r="3846" spans="1:26" ht="15.6" x14ac:dyDescent="0.3">
      <c r="A3846" s="18" t="s">
        <v>3</v>
      </c>
      <c r="B3846" s="25" t="s">
        <v>3829</v>
      </c>
      <c r="C3846" s="2" t="str">
        <f ca="1">IFERROR(__xludf.DUMMYFUNCTION("GOOGLETRANSLATE(B3846, ""bn"", ""en"")"),"When Buddha talks about rebirth, soul, nirvana, he is indirectly talking about God.")</f>
        <v>When Buddha talks about rebirth, soul, nirvana, he is indirectly talking about God.</v>
      </c>
      <c r="D3846" s="5"/>
      <c r="E3846" s="5"/>
      <c r="F3846" s="5"/>
      <c r="G3846" s="5"/>
      <c r="H3846" s="5"/>
      <c r="I3846" s="5"/>
      <c r="J3846" s="5"/>
      <c r="K3846" s="5"/>
      <c r="L3846" s="5"/>
      <c r="M3846" s="5"/>
      <c r="N3846" s="5"/>
      <c r="O3846" s="5"/>
      <c r="P3846" s="5"/>
      <c r="Q3846" s="5"/>
      <c r="R3846" s="5"/>
      <c r="S3846" s="5"/>
      <c r="T3846" s="5"/>
      <c r="U3846" s="5"/>
      <c r="V3846" s="5"/>
      <c r="W3846" s="5"/>
      <c r="X3846" s="5"/>
      <c r="Y3846" s="5"/>
      <c r="Z3846" s="5"/>
    </row>
    <row r="3847" spans="1:26" ht="15.6" x14ac:dyDescent="0.3">
      <c r="A3847" s="19" t="s">
        <v>3</v>
      </c>
      <c r="B3847" s="26" t="s">
        <v>3830</v>
      </c>
      <c r="C3847" s="2" t="str">
        <f ca="1">IFERROR(__xludf.DUMMYFUNCTION("GOOGLETRANSLATE(B3847, ""bn"", ""en"")"),"Innate religion is available, but there is much to be learned from being human.")</f>
        <v>Innate religion is available, but there is much to be learned from being human.</v>
      </c>
      <c r="D3847" s="5"/>
      <c r="E3847" s="5"/>
      <c r="F3847" s="5"/>
      <c r="G3847" s="5"/>
      <c r="H3847" s="5"/>
      <c r="I3847" s="5"/>
      <c r="J3847" s="5"/>
      <c r="K3847" s="5"/>
      <c r="L3847" s="5"/>
      <c r="M3847" s="5"/>
      <c r="N3847" s="5"/>
      <c r="O3847" s="5"/>
      <c r="P3847" s="5"/>
      <c r="Q3847" s="5"/>
      <c r="R3847" s="5"/>
      <c r="S3847" s="5"/>
      <c r="T3847" s="5"/>
      <c r="U3847" s="5"/>
      <c r="V3847" s="5"/>
      <c r="W3847" s="5"/>
      <c r="X3847" s="5"/>
      <c r="Y3847" s="5"/>
      <c r="Z3847" s="5"/>
    </row>
    <row r="3848" spans="1:26" ht="15.6" x14ac:dyDescent="0.3">
      <c r="A3848" s="18" t="s">
        <v>3</v>
      </c>
      <c r="B3848" s="25" t="s">
        <v>3831</v>
      </c>
      <c r="C3848" s="2" t="str">
        <f ca="1">IFERROR(__xludf.DUMMYFUNCTION("GOOGLETRANSLATE(B3848, ""bn"", ""en"")"),"Alhamdulillah, even before watching this video I was 100% confirmed that Quran is written by Allah, but I believe 100% that Quran is written by Allah. But watching the video I learned a lot that I didn't know before.")</f>
        <v>Alhamdulillah, even before watching this video I was 100% confirmed that Quran is written by Allah, but I believe 100% that Quran is written by Allah. But watching the video I learned a lot that I didn't know before.</v>
      </c>
      <c r="D3848" s="6"/>
      <c r="E3848" s="6"/>
      <c r="F3848" s="2"/>
      <c r="G3848" s="2"/>
      <c r="H3848" s="5"/>
      <c r="I3848" s="5"/>
      <c r="J3848" s="5"/>
      <c r="K3848" s="5"/>
      <c r="L3848" s="5"/>
      <c r="M3848" s="5"/>
      <c r="N3848" s="5"/>
      <c r="O3848" s="5"/>
      <c r="P3848" s="5"/>
      <c r="Q3848" s="5"/>
      <c r="R3848" s="5"/>
      <c r="S3848" s="5"/>
      <c r="T3848" s="5"/>
      <c r="U3848" s="5"/>
      <c r="V3848" s="5"/>
      <c r="W3848" s="5"/>
      <c r="X3848" s="5"/>
      <c r="Y3848" s="5"/>
      <c r="Z3848" s="5"/>
    </row>
    <row r="3849" spans="1:26" ht="15.6" x14ac:dyDescent="0.3">
      <c r="A3849" s="18" t="s">
        <v>23</v>
      </c>
      <c r="B3849" s="25" t="s">
        <v>3832</v>
      </c>
      <c r="C3849" s="2" t="str">
        <f ca="1">IFERROR(__xludf.DUMMYFUNCTION("GOOGLETRANSLATE(B3849, ""bn"", ""en"")"),"Hindu men were forced by Muslims to pray in mosques. Hindus are forced to eat beef because they do not eat cow's meat as it is a sacred animal according to Hinduism. Hindu girls and women are forced into marriage by Muslims.")</f>
        <v>Hindu men were forced by Muslims to pray in mosques. Hindus are forced to eat beef because they do not eat cow's meat as it is a sacred animal according to Hinduism. Hindu girls and women are forced into marriage by Muslims.</v>
      </c>
      <c r="D3849" s="5"/>
      <c r="E3849" s="5"/>
      <c r="F3849" s="5"/>
      <c r="G3849" s="5"/>
      <c r="H3849" s="5"/>
      <c r="I3849" s="5"/>
      <c r="J3849" s="5"/>
      <c r="K3849" s="5"/>
      <c r="L3849" s="5"/>
      <c r="M3849" s="5"/>
      <c r="N3849" s="5"/>
      <c r="O3849" s="5"/>
      <c r="P3849" s="5"/>
      <c r="Q3849" s="5"/>
      <c r="R3849" s="5"/>
      <c r="S3849" s="5"/>
      <c r="T3849" s="5"/>
      <c r="U3849" s="5"/>
      <c r="V3849" s="5"/>
      <c r="W3849" s="5"/>
      <c r="X3849" s="5"/>
      <c r="Y3849" s="5"/>
      <c r="Z3849" s="5"/>
    </row>
    <row r="3850" spans="1:26" ht="15.6" x14ac:dyDescent="0.3">
      <c r="A3850" s="18" t="s">
        <v>5</v>
      </c>
      <c r="B3850" s="25" t="s">
        <v>3833</v>
      </c>
      <c r="C3850" s="2" t="str">
        <f ca="1">IFERROR(__xludf.DUMMYFUNCTION("GOOGLETRANSLATE(B3850, ""bn"", ""en"")"),"On May 22, 1921, Nali village of Barisal district was attacked. Bengali Hindu villagers resisted with spears. But they were overpowered by the accomplices, and they shot dead 15 villagers.")</f>
        <v>On May 22, 1921, Nali village of Barisal district was attacked. Bengali Hindu villagers resisted with spears. But they were overpowered by the accomplices, and they shot dead 15 villagers.</v>
      </c>
      <c r="D3850" s="7"/>
      <c r="E3850" s="7"/>
      <c r="F3850" s="7"/>
      <c r="G3850" s="7"/>
      <c r="H3850" s="7"/>
      <c r="I3850" s="7"/>
      <c r="J3850" s="7"/>
      <c r="K3850" s="5"/>
      <c r="L3850" s="5"/>
      <c r="M3850" s="5"/>
      <c r="N3850" s="5"/>
      <c r="O3850" s="5"/>
      <c r="P3850" s="5"/>
      <c r="Q3850" s="5"/>
      <c r="R3850" s="5"/>
      <c r="S3850" s="5"/>
      <c r="T3850" s="5"/>
      <c r="U3850" s="5"/>
      <c r="V3850" s="5"/>
      <c r="W3850" s="5"/>
      <c r="X3850" s="5"/>
      <c r="Y3850" s="5"/>
      <c r="Z3850" s="5"/>
    </row>
    <row r="3851" spans="1:26" ht="15.6" x14ac:dyDescent="0.3">
      <c r="A3851" s="18" t="s">
        <v>23</v>
      </c>
      <c r="B3851" s="25" t="s">
        <v>3834</v>
      </c>
      <c r="C3851" s="2" t="str">
        <f ca="1">IFERROR(__xludf.DUMMYFUNCTION("GOOGLETRANSLATE(B3851, ""bn"", ""en"")"),"To destroy hundred years of Islamic harmony, some mischievous different religious groups are trying to weaken Muslims by indulging in anti-Islamic conspiracies before elections.")</f>
        <v>To destroy hundred years of Islamic harmony, some mischievous different religious groups are trying to weaken Muslims by indulging in anti-Islamic conspiracies before elections.</v>
      </c>
      <c r="D3851" s="5"/>
      <c r="E3851" s="5"/>
      <c r="F3851" s="5"/>
      <c r="G3851" s="5"/>
      <c r="H3851" s="5"/>
      <c r="I3851" s="5"/>
      <c r="J3851" s="5"/>
      <c r="K3851" s="5"/>
      <c r="L3851" s="5"/>
      <c r="M3851" s="5"/>
      <c r="N3851" s="5"/>
      <c r="O3851" s="5"/>
      <c r="P3851" s="5"/>
      <c r="Q3851" s="5"/>
      <c r="R3851" s="5"/>
      <c r="S3851" s="5"/>
      <c r="T3851" s="5"/>
      <c r="U3851" s="5"/>
      <c r="V3851" s="5"/>
      <c r="W3851" s="5"/>
      <c r="X3851" s="5"/>
      <c r="Y3851" s="5"/>
      <c r="Z3851" s="5"/>
    </row>
    <row r="3852" spans="1:26" ht="15.6" x14ac:dyDescent="0.3">
      <c r="A3852" s="18" t="s">
        <v>5</v>
      </c>
      <c r="B3852" s="25" t="s">
        <v>3835</v>
      </c>
      <c r="C3852" s="2" t="str">
        <f ca="1">IFERROR(__xludf.DUMMYFUNCTION("GOOGLETRANSLATE(B3852, ""bn"", ""en"")"),"In a religious ashram, Muslim extremists razed all the structures of the monastery and killed two innocent people, forcing some to commit suicide in fear.")</f>
        <v>In a religious ashram, Muslim extremists razed all the structures of the monastery and killed two innocent people, forcing some to commit suicide in fear.</v>
      </c>
      <c r="D3852" s="5"/>
      <c r="E3852" s="5"/>
      <c r="F3852" s="5"/>
      <c r="G3852" s="5"/>
      <c r="H3852" s="5"/>
      <c r="I3852" s="5"/>
      <c r="J3852" s="5"/>
      <c r="K3852" s="5"/>
      <c r="L3852" s="5"/>
      <c r="M3852" s="5"/>
      <c r="N3852" s="5"/>
      <c r="O3852" s="5"/>
      <c r="P3852" s="5"/>
      <c r="Q3852" s="5"/>
      <c r="R3852" s="5"/>
      <c r="S3852" s="5"/>
      <c r="T3852" s="5"/>
      <c r="U3852" s="5"/>
      <c r="V3852" s="5"/>
      <c r="W3852" s="5"/>
      <c r="X3852" s="5"/>
      <c r="Y3852" s="5"/>
      <c r="Z3852" s="5"/>
    </row>
    <row r="3853" spans="1:26" ht="15.6" x14ac:dyDescent="0.3">
      <c r="A3853" s="18" t="s">
        <v>5</v>
      </c>
      <c r="B3853" s="24" t="s">
        <v>3836</v>
      </c>
      <c r="C3853" s="2" t="str">
        <f ca="1">IFERROR(__xludf.DUMMYFUNCTION("GOOGLETRANSLATE(B3853, ""bn"", ""en"")"),"At least 42 people were killed in an attack on the minority Hindu community in Chapainawabganj religious clashes. The administration failed to bring the situation under control and this further fueled the anger.")</f>
        <v>At least 42 people were killed in an attack on the minority Hindu community in Chapainawabganj religious clashes. The administration failed to bring the situation under control and this further fueled the anger.</v>
      </c>
      <c r="D3853" s="5"/>
      <c r="E3853" s="5"/>
      <c r="F3853" s="5"/>
      <c r="G3853" s="5"/>
      <c r="H3853" s="5"/>
      <c r="I3853" s="5"/>
      <c r="J3853" s="5"/>
      <c r="K3853" s="5"/>
      <c r="L3853" s="5"/>
      <c r="M3853" s="5"/>
      <c r="N3853" s="5"/>
      <c r="O3853" s="5"/>
      <c r="P3853" s="5"/>
      <c r="Q3853" s="5"/>
      <c r="R3853" s="5"/>
      <c r="S3853" s="5"/>
      <c r="T3853" s="5"/>
      <c r="U3853" s="5"/>
      <c r="V3853" s="5"/>
      <c r="W3853" s="5"/>
      <c r="X3853" s="5"/>
      <c r="Y3853" s="5"/>
      <c r="Z3853" s="5"/>
    </row>
    <row r="3854" spans="1:26" ht="15.6" x14ac:dyDescent="0.3">
      <c r="A3854" s="18" t="s">
        <v>23</v>
      </c>
      <c r="B3854" s="24" t="s">
        <v>3837</v>
      </c>
      <c r="C3854" s="2" t="str">
        <f ca="1">IFERROR(__xludf.DUMMYFUNCTION("GOOGLETRANSLATE(B3854, ""bn"", ""en"")"),"They pray and do ugly politics behind the scenes, Islam is really a source of danger.")</f>
        <v>They pray and do ugly politics behind the scenes, Islam is really a source of danger.</v>
      </c>
      <c r="D3854" s="5"/>
      <c r="E3854" s="5"/>
      <c r="F3854" s="5"/>
      <c r="G3854" s="5"/>
      <c r="H3854" s="5"/>
      <c r="I3854" s="5"/>
      <c r="J3854" s="5"/>
      <c r="K3854" s="5"/>
      <c r="L3854" s="5"/>
      <c r="M3854" s="5"/>
      <c r="N3854" s="5"/>
      <c r="O3854" s="5"/>
      <c r="P3854" s="5"/>
      <c r="Q3854" s="5"/>
      <c r="R3854" s="5"/>
      <c r="S3854" s="5"/>
      <c r="T3854" s="5"/>
      <c r="U3854" s="5"/>
      <c r="V3854" s="5"/>
      <c r="W3854" s="5"/>
      <c r="X3854" s="5"/>
      <c r="Y3854" s="5"/>
      <c r="Z3854" s="5"/>
    </row>
    <row r="3855" spans="1:26" ht="15.6" x14ac:dyDescent="0.3">
      <c r="A3855" s="19" t="s">
        <v>8</v>
      </c>
      <c r="B3855" s="26" t="s">
        <v>3838</v>
      </c>
      <c r="C3855" s="2" t="str">
        <f ca="1">IFERROR(__xludf.DUMMYFUNCTION("GOOGLETRANSLATE(B3855, ""bn"", ""en"")"),"Attack on Hindu Community in Bangladesh: Angry Reaction of Bangladeshi Community in Australia")</f>
        <v>Attack on Hindu Community in Bangladesh: Angry Reaction of Bangladeshi Community in Australia</v>
      </c>
      <c r="D3855" s="5"/>
      <c r="E3855" s="5"/>
      <c r="F3855" s="5"/>
      <c r="G3855" s="5"/>
      <c r="H3855" s="5"/>
      <c r="I3855" s="5"/>
      <c r="J3855" s="5"/>
      <c r="K3855" s="5"/>
      <c r="L3855" s="5"/>
      <c r="M3855" s="5"/>
      <c r="N3855" s="5"/>
      <c r="O3855" s="5"/>
      <c r="P3855" s="5"/>
      <c r="Q3855" s="5"/>
      <c r="R3855" s="5"/>
      <c r="S3855" s="5"/>
      <c r="T3855" s="5"/>
      <c r="U3855" s="5"/>
      <c r="V3855" s="5"/>
      <c r="W3855" s="5"/>
      <c r="X3855" s="5"/>
      <c r="Y3855" s="5"/>
      <c r="Z3855" s="5"/>
    </row>
    <row r="3856" spans="1:26" ht="15.6" x14ac:dyDescent="0.3">
      <c r="A3856" s="18" t="s">
        <v>23</v>
      </c>
      <c r="B3856" s="25" t="s">
        <v>3839</v>
      </c>
      <c r="C3856" s="2" t="str">
        <f ca="1">IFERROR(__xludf.DUMMYFUNCTION("GOOGLETRANSLATE(B3856, ""bn"", ""en"")"),"Atheists slander another woman as the handmaiden of Muhammad (pbuh). She is the mother of all Muslims Hazrat Rayhana (RA).")</f>
        <v>Atheists slander another woman as the handmaiden of Muhammad (pbuh). She is the mother of all Muslims Hazrat Rayhana (RA).</v>
      </c>
      <c r="D3856" s="5"/>
      <c r="E3856" s="5"/>
      <c r="F3856" s="5"/>
      <c r="G3856" s="5"/>
      <c r="H3856" s="5"/>
      <c r="I3856" s="5"/>
      <c r="J3856" s="5"/>
      <c r="K3856" s="5"/>
      <c r="L3856" s="5"/>
      <c r="M3856" s="5"/>
      <c r="N3856" s="5"/>
      <c r="O3856" s="5"/>
      <c r="P3856" s="5"/>
      <c r="Q3856" s="5"/>
      <c r="R3856" s="5"/>
      <c r="S3856" s="5"/>
      <c r="T3856" s="5"/>
      <c r="U3856" s="5"/>
      <c r="V3856" s="5"/>
      <c r="W3856" s="5"/>
      <c r="X3856" s="5"/>
      <c r="Y3856" s="5"/>
      <c r="Z3856" s="5"/>
    </row>
    <row r="3857" spans="1:26" ht="15.6" x14ac:dyDescent="0.3">
      <c r="A3857" s="18" t="s">
        <v>3</v>
      </c>
      <c r="B3857" s="25" t="s">
        <v>3840</v>
      </c>
      <c r="C3857" s="2" t="str">
        <f ca="1">IFERROR(__xludf.DUMMYFUNCTION("GOOGLETRANSLATE(B3857, ""bn"", ""en"")"),"We pray, may Allah subhanahu wa ta'ala guide us to the right path and keep us in the group of goodness. Allah humma ameen. We do all our work with good intentions, for the pleasure of Allah. Amen.")</f>
        <v>We pray, may Allah subhanahu wa ta'ala guide us to the right path and keep us in the group of goodness. Allah humma ameen. We do all our work with good intentions, for the pleasure of Allah. Amen.</v>
      </c>
      <c r="D3857" s="5"/>
      <c r="E3857" s="5"/>
      <c r="F3857" s="5"/>
      <c r="G3857" s="5"/>
      <c r="H3857" s="5"/>
      <c r="I3857" s="5"/>
      <c r="J3857" s="5"/>
      <c r="K3857" s="5"/>
      <c r="L3857" s="5"/>
      <c r="M3857" s="5"/>
      <c r="N3857" s="5"/>
      <c r="O3857" s="5"/>
      <c r="P3857" s="5"/>
      <c r="Q3857" s="5"/>
      <c r="R3857" s="5"/>
      <c r="S3857" s="5"/>
      <c r="T3857" s="5"/>
      <c r="U3857" s="5"/>
      <c r="V3857" s="5"/>
      <c r="W3857" s="5"/>
      <c r="X3857" s="5"/>
      <c r="Y3857" s="5"/>
      <c r="Z3857" s="5"/>
    </row>
    <row r="3858" spans="1:26" ht="15.6" x14ac:dyDescent="0.3">
      <c r="A3858" s="18" t="s">
        <v>5</v>
      </c>
      <c r="B3858" s="24" t="s">
        <v>3841</v>
      </c>
      <c r="C3858" s="2" t="str">
        <f ca="1">IFERROR(__xludf.DUMMYFUNCTION("GOOGLETRANSLATE(B3858, ""bn"", ""en"")"),"In January 2018, 31 people were killed in clashes between a group of religious groups; There is a lot of damage.")</f>
        <v>In January 2018, 31 people were killed in clashes between a group of religious groups; There is a lot of damage.</v>
      </c>
      <c r="D3858" s="5"/>
      <c r="E3858" s="5"/>
      <c r="F3858" s="5"/>
      <c r="G3858" s="5"/>
      <c r="H3858" s="5"/>
      <c r="I3858" s="5"/>
      <c r="J3858" s="5"/>
      <c r="K3858" s="5"/>
      <c r="L3858" s="5"/>
      <c r="M3858" s="5"/>
      <c r="N3858" s="5"/>
      <c r="O3858" s="5"/>
      <c r="P3858" s="5"/>
      <c r="Q3858" s="5"/>
      <c r="R3858" s="5"/>
      <c r="S3858" s="5"/>
      <c r="T3858" s="5"/>
      <c r="U3858" s="5"/>
      <c r="V3858" s="5"/>
      <c r="W3858" s="5"/>
      <c r="X3858" s="5"/>
      <c r="Y3858" s="5"/>
      <c r="Z3858" s="5"/>
    </row>
    <row r="3859" spans="1:26" ht="15.6" x14ac:dyDescent="0.3">
      <c r="A3859" s="18" t="s">
        <v>3</v>
      </c>
      <c r="B3859" s="25" t="s">
        <v>3842</v>
      </c>
      <c r="C3859" s="2" t="str">
        <f ca="1">IFERROR(__xludf.DUMMYFUNCTION("GOOGLETRANSLATE(B3859, ""bn"", ""en"")"),"His wife Neo-Muslim Sneha has herself testified that she was not abducted but voluntarily became a Muslim and married the jailed Neo-Muslim of her own free will.")</f>
        <v>His wife Neo-Muslim Sneha has herself testified that she was not abducted but voluntarily became a Muslim and married the jailed Neo-Muslim of her own free will.</v>
      </c>
      <c r="D3859" s="7"/>
      <c r="E3859" s="7"/>
      <c r="F3859" s="7"/>
      <c r="G3859" s="7"/>
      <c r="H3859" s="7"/>
      <c r="I3859" s="7"/>
      <c r="J3859" s="7"/>
      <c r="K3859" s="7"/>
      <c r="L3859" s="7"/>
      <c r="M3859" s="7"/>
      <c r="N3859" s="7"/>
      <c r="O3859" s="7"/>
      <c r="P3859" s="7"/>
      <c r="Q3859" s="7"/>
      <c r="R3859" s="7"/>
      <c r="S3859" s="7"/>
      <c r="T3859" s="7"/>
      <c r="U3859" s="7"/>
      <c r="V3859" s="7"/>
      <c r="W3859" s="7"/>
      <c r="X3859" s="7"/>
      <c r="Y3859" s="7"/>
      <c r="Z3859" s="7"/>
    </row>
    <row r="3860" spans="1:26" ht="15.6" x14ac:dyDescent="0.3">
      <c r="A3860" s="19" t="s">
        <v>5</v>
      </c>
      <c r="B3860" s="26" t="s">
        <v>3843</v>
      </c>
      <c r="C3860" s="2" t="str">
        <f ca="1">IFERROR(__xludf.DUMMYFUNCTION("GOOGLETRANSLATE(B3860, ""bn"", ""en"")"),"Even though it is said that the dead should not be dishonored in religion, the super religious cannot control it. Therefore the artist is apt to be dishonored both in life and in death")</f>
        <v>Even though it is said that the dead should not be dishonored in religion, the super religious cannot control it. Therefore the artist is apt to be dishonored both in life and in death</v>
      </c>
      <c r="D3860" s="5"/>
      <c r="E3860" s="5"/>
      <c r="F3860" s="5"/>
      <c r="G3860" s="5"/>
      <c r="H3860" s="5"/>
      <c r="I3860" s="5"/>
      <c r="J3860" s="5"/>
      <c r="K3860" s="5"/>
      <c r="L3860" s="5"/>
      <c r="M3860" s="5"/>
      <c r="N3860" s="5"/>
      <c r="O3860" s="5"/>
      <c r="P3860" s="5"/>
      <c r="Q3860" s="5"/>
      <c r="R3860" s="5"/>
      <c r="S3860" s="5"/>
      <c r="T3860" s="5"/>
      <c r="U3860" s="5"/>
      <c r="V3860" s="5"/>
      <c r="W3860" s="5"/>
      <c r="X3860" s="5"/>
      <c r="Y3860" s="5"/>
      <c r="Z3860" s="5"/>
    </row>
    <row r="3861" spans="1:26" ht="15.6" x14ac:dyDescent="0.3">
      <c r="A3861" s="19" t="s">
        <v>3</v>
      </c>
      <c r="B3861" s="26" t="s">
        <v>3844</v>
      </c>
      <c r="C3861" s="2" t="str">
        <f ca="1">IFERROR(__xludf.DUMMYFUNCTION("GOOGLETRANSLATE(B3861, ""bn"", ""en"")"),"Charabhadrasana is situated on the south bank of Padma. The area is sandy along the river, which changes its texture over time. Char literally means a sandy place. Vaidyadangi, Majhidangi and Baladangi villages located on this site were Hindu villages of "&amp;"farmers and fishermen caste.")</f>
        <v>Charabhadrasana is situated on the south bank of Padma. The area is sandy along the river, which changes its texture over time. Char literally means a sandy place. Vaidyadangi, Majhidangi and Baladangi villages located on this site were Hindu villages of farmers and fishermen caste.</v>
      </c>
      <c r="D3861" s="7"/>
      <c r="E3861" s="7"/>
      <c r="F3861" s="7"/>
      <c r="G3861" s="7"/>
      <c r="H3861" s="5"/>
      <c r="I3861" s="5"/>
      <c r="J3861" s="5"/>
      <c r="K3861" s="5"/>
      <c r="L3861" s="5"/>
      <c r="M3861" s="5"/>
      <c r="N3861" s="5"/>
      <c r="O3861" s="5"/>
      <c r="P3861" s="5"/>
      <c r="Q3861" s="5"/>
      <c r="R3861" s="5"/>
      <c r="S3861" s="5"/>
      <c r="T3861" s="5"/>
      <c r="U3861" s="5"/>
      <c r="V3861" s="5"/>
      <c r="W3861" s="5"/>
      <c r="X3861" s="5"/>
      <c r="Y3861" s="5"/>
      <c r="Z3861" s="5"/>
    </row>
    <row r="3862" spans="1:26" ht="15.6" x14ac:dyDescent="0.3">
      <c r="A3862" s="18" t="s">
        <v>8</v>
      </c>
      <c r="B3862" s="25" t="s">
        <v>3845</v>
      </c>
      <c r="C3862" s="2" t="str">
        <f ca="1">IFERROR(__xludf.DUMMYFUNCTION("GOOGLETRANSLATE(B3862, ""bn"", ""en"")"),"A Quran Sharif is found on the lap of the statue of Hanuman in the Pujamandap of Nanua Dighi, Comilla. After this incident spread on social media, a person named Faiz Ahmed revealed the matter on Facebook live. On hearing the news, a group of radical Musl"&amp;"ims attacked the mandap and vandalized the idol.")</f>
        <v>A Quran Sharif is found on the lap of the statue of Hanuman in the Pujamandap of Nanua Dighi, Comilla. After this incident spread on social media, a person named Faiz Ahmed revealed the matter on Facebook live. On hearing the news, a group of radical Muslims attacked the mandap and vandalized the idol.</v>
      </c>
      <c r="D3862" s="12"/>
      <c r="E3862" s="12"/>
      <c r="F3862" s="2"/>
      <c r="G3862" s="2"/>
      <c r="H3862" s="3"/>
      <c r="I3862" s="3"/>
      <c r="J3862" s="3"/>
      <c r="K3862" s="3"/>
      <c r="L3862" s="3"/>
      <c r="M3862" s="3"/>
      <c r="N3862" s="3"/>
      <c r="O3862" s="3"/>
      <c r="P3862" s="3"/>
      <c r="Q3862" s="3"/>
      <c r="R3862" s="3"/>
      <c r="S3862" s="3"/>
      <c r="T3862" s="3"/>
      <c r="U3862" s="3"/>
      <c r="V3862" s="3"/>
      <c r="W3862" s="3"/>
      <c r="X3862" s="3"/>
      <c r="Y3862" s="3"/>
      <c r="Z3862" s="3"/>
    </row>
    <row r="3863" spans="1:26" ht="15.6" x14ac:dyDescent="0.3">
      <c r="A3863" s="18" t="s">
        <v>23</v>
      </c>
      <c r="B3863" s="25" t="s">
        <v>3846</v>
      </c>
      <c r="C3863" s="2" t="str">
        <f ca="1">IFERROR(__xludf.DUMMYFUNCTION("GOOGLETRANSLATE(B3863, ""bn"", ""en"")"),"Hey brother, why is there so much exaggeration in your Madhhab, Amin slowly or fast, Tarabi 8 or 30 rakat, to pray or not to pray after the obligatory prayer etc.?????")</f>
        <v>Hey brother, why is there so much exaggeration in your Madhhab, Amin slowly or fast, Tarabi 8 or 30 rakat, to pray or not to pray after the obligatory prayer etc.?????</v>
      </c>
      <c r="D3863" s="5"/>
      <c r="E3863" s="5"/>
      <c r="F3863" s="5"/>
      <c r="G3863" s="5"/>
      <c r="H3863" s="5"/>
      <c r="I3863" s="5"/>
      <c r="J3863" s="5"/>
      <c r="K3863" s="5"/>
      <c r="L3863" s="5"/>
      <c r="M3863" s="5"/>
      <c r="N3863" s="5"/>
      <c r="O3863" s="5"/>
      <c r="P3863" s="5"/>
      <c r="Q3863" s="5"/>
      <c r="R3863" s="5"/>
      <c r="S3863" s="5"/>
      <c r="T3863" s="5"/>
      <c r="U3863" s="5"/>
      <c r="V3863" s="5"/>
      <c r="W3863" s="5"/>
      <c r="X3863" s="5"/>
      <c r="Y3863" s="5"/>
      <c r="Z3863" s="5"/>
    </row>
    <row r="3864" spans="1:26" ht="15.6" x14ac:dyDescent="0.3">
      <c r="A3864" s="18" t="s">
        <v>23</v>
      </c>
      <c r="B3864" s="25" t="s">
        <v>3847</v>
      </c>
      <c r="C3864" s="2" t="str">
        <f ca="1">IFERROR(__xludf.DUMMYFUNCTION("GOOGLETRANSLATE(B3864, ""bn"", ""en"")"),"There was a very noble Hindu guru named Vasudev Sharma, who was highly respected by thousands of Hindu workers there. On the day of Eid-ul-Fitr, this innocent man was forced to eat beef by Muslims.")</f>
        <v>There was a very noble Hindu guru named Vasudev Sharma, who was highly respected by thousands of Hindu workers there. On the day of Eid-ul-Fitr, this innocent man was forced to eat beef by Muslims.</v>
      </c>
      <c r="D3864" s="5"/>
      <c r="E3864" s="5"/>
      <c r="F3864" s="5"/>
      <c r="G3864" s="5"/>
      <c r="H3864" s="5"/>
      <c r="I3864" s="5"/>
      <c r="J3864" s="5"/>
      <c r="K3864" s="5"/>
      <c r="L3864" s="5"/>
      <c r="M3864" s="5"/>
      <c r="N3864" s="5"/>
      <c r="O3864" s="5"/>
      <c r="P3864" s="5"/>
      <c r="Q3864" s="5"/>
      <c r="R3864" s="5"/>
      <c r="S3864" s="5"/>
      <c r="T3864" s="5"/>
      <c r="U3864" s="5"/>
      <c r="V3864" s="5"/>
      <c r="W3864" s="5"/>
      <c r="X3864" s="5"/>
      <c r="Y3864" s="5"/>
      <c r="Z3864" s="5"/>
    </row>
    <row r="3865" spans="1:26" ht="15.6" x14ac:dyDescent="0.3">
      <c r="A3865" s="18" t="s">
        <v>8</v>
      </c>
      <c r="B3865" s="25" t="s">
        <v>3848</v>
      </c>
      <c r="C3865" s="2" t="str">
        <f ca="1">IFERROR(__xludf.DUMMYFUNCTION("GOOGLETRANSLATE(B3865, ""bn"", ""en"")"),"In 2020, several mosques in Bangladesh were stoned and set on fire, injuring worshippers.")</f>
        <v>In 2020, several mosques in Bangladesh were stoned and set on fire, injuring worshippers.</v>
      </c>
      <c r="D3865" s="2"/>
      <c r="E3865" s="2"/>
      <c r="F3865" s="2"/>
      <c r="G3865" s="2"/>
      <c r="H3865" s="3"/>
      <c r="I3865" s="3"/>
      <c r="J3865" s="3"/>
      <c r="K3865" s="3"/>
      <c r="L3865" s="3"/>
      <c r="M3865" s="3"/>
      <c r="N3865" s="3"/>
      <c r="O3865" s="3"/>
      <c r="P3865" s="3"/>
      <c r="Q3865" s="3"/>
      <c r="R3865" s="3"/>
      <c r="S3865" s="3"/>
      <c r="T3865" s="3"/>
      <c r="U3865" s="3"/>
      <c r="V3865" s="3"/>
      <c r="W3865" s="3"/>
      <c r="X3865" s="3"/>
      <c r="Y3865" s="3"/>
      <c r="Z3865" s="3"/>
    </row>
    <row r="3866" spans="1:26" ht="15.6" x14ac:dyDescent="0.3">
      <c r="A3866" s="18" t="s">
        <v>3</v>
      </c>
      <c r="B3866" s="25" t="s">
        <v>3849</v>
      </c>
      <c r="C3866" s="2" t="str">
        <f ca="1">IFERROR(__xludf.DUMMYFUNCTION("GOOGLETRANSLATE(B3866, ""bn"", ""en"")"),"Allah says in the Qur'an that one should show kindness and respect to all people, because He is the protector of all creation.")</f>
        <v>Allah says in the Qur'an that one should show kindness and respect to all people, because He is the protector of all creation.</v>
      </c>
      <c r="D3866" s="2"/>
      <c r="E3866" s="2"/>
      <c r="F3866" s="2"/>
      <c r="G3866" s="2"/>
      <c r="H3866" s="5"/>
      <c r="I3866" s="5"/>
      <c r="J3866" s="5"/>
      <c r="K3866" s="5"/>
      <c r="L3866" s="5"/>
      <c r="M3866" s="5"/>
      <c r="N3866" s="5"/>
      <c r="O3866" s="5"/>
      <c r="P3866" s="5"/>
      <c r="Q3866" s="5"/>
      <c r="R3866" s="5"/>
      <c r="S3866" s="5"/>
      <c r="T3866" s="5"/>
      <c r="U3866" s="5"/>
      <c r="V3866" s="5"/>
      <c r="W3866" s="5"/>
      <c r="X3866" s="5"/>
      <c r="Y3866" s="5"/>
      <c r="Z3866" s="5"/>
    </row>
    <row r="3867" spans="1:26" ht="15.6" x14ac:dyDescent="0.3">
      <c r="A3867" s="19" t="s">
        <v>3</v>
      </c>
      <c r="B3867" s="26" t="s">
        <v>3850</v>
      </c>
      <c r="C3867" s="2" t="str">
        <f ca="1">IFERROR(__xludf.DUMMYFUNCTION("GOOGLETRANSLATE(B3867, ""bn"", ""en"")"),"Regardless of religion, we are all human beings and brothers to each other.")</f>
        <v>Regardless of religion, we are all human beings and brothers to each other.</v>
      </c>
      <c r="D3867" s="5"/>
      <c r="E3867" s="5"/>
      <c r="F3867" s="5"/>
      <c r="G3867" s="5"/>
      <c r="H3867" s="5"/>
      <c r="I3867" s="5"/>
      <c r="J3867" s="5"/>
      <c r="K3867" s="5"/>
      <c r="L3867" s="5"/>
      <c r="M3867" s="5"/>
      <c r="N3867" s="5"/>
      <c r="O3867" s="5"/>
      <c r="P3867" s="5"/>
      <c r="Q3867" s="5"/>
      <c r="R3867" s="5"/>
      <c r="S3867" s="5"/>
      <c r="T3867" s="5"/>
      <c r="U3867" s="5"/>
      <c r="V3867" s="5"/>
      <c r="W3867" s="5"/>
      <c r="X3867" s="5"/>
      <c r="Y3867" s="5"/>
      <c r="Z3867" s="5"/>
    </row>
    <row r="3868" spans="1:26" ht="15.6" x14ac:dyDescent="0.3">
      <c r="A3868" s="18" t="s">
        <v>3</v>
      </c>
      <c r="B3868" s="25" t="s">
        <v>3851</v>
      </c>
      <c r="C3868" s="2" t="str">
        <f ca="1">IFERROR(__xludf.DUMMYFUNCTION("GOOGLETRANSLATE(B3868, ""bn"", ""en"")"),"I hope you will be successful in removing this social degradation by showing religion as inferior.")</f>
        <v>I hope you will be successful in removing this social degradation by showing religion as inferior.</v>
      </c>
      <c r="D3868" s="5"/>
      <c r="E3868" s="5"/>
      <c r="F3868" s="5"/>
      <c r="G3868" s="5"/>
      <c r="H3868" s="5"/>
      <c r="I3868" s="5"/>
      <c r="J3868" s="5"/>
      <c r="K3868" s="5"/>
      <c r="L3868" s="5"/>
      <c r="M3868" s="5"/>
      <c r="N3868" s="5"/>
      <c r="O3868" s="5"/>
      <c r="P3868" s="5"/>
      <c r="Q3868" s="5"/>
      <c r="R3868" s="5"/>
      <c r="S3868" s="5"/>
      <c r="T3868" s="5"/>
      <c r="U3868" s="5"/>
      <c r="V3868" s="5"/>
      <c r="W3868" s="5"/>
      <c r="X3868" s="5"/>
      <c r="Y3868" s="5"/>
      <c r="Z3868" s="5"/>
    </row>
    <row r="3869" spans="1:26" ht="15.6" x14ac:dyDescent="0.3">
      <c r="A3869" s="19" t="s">
        <v>5</v>
      </c>
      <c r="B3869" s="26" t="s">
        <v>3852</v>
      </c>
      <c r="C3869" s="2" t="str">
        <f ca="1">IFERROR(__xludf.DUMMYFUNCTION("GOOGLETRANSLATE(B3869, ""bn"", ""en"")"),"Hindu pogroms refer to incidents of Hindus being killed by other religions at various times. Hindus have accepted this oppression and suppression for ages. These include forced conversions, documented genocide, destruction of temples and religious sites, "&amp;"and destruction of educational institutions.")</f>
        <v>Hindu pogroms refer to incidents of Hindus being killed by other religions at various times. Hindus have accepted this oppression and suppression for ages. These include forced conversions, documented genocide, destruction of temples and religious sites, and destruction of educational institutions.</v>
      </c>
      <c r="D3869" s="2"/>
      <c r="E3869" s="2"/>
      <c r="F3869" s="2"/>
      <c r="G3869" s="2"/>
      <c r="H3869" s="3"/>
      <c r="I3869" s="3"/>
      <c r="J3869" s="3"/>
      <c r="K3869" s="3"/>
      <c r="L3869" s="3"/>
      <c r="M3869" s="3"/>
      <c r="N3869" s="3"/>
      <c r="O3869" s="3"/>
      <c r="P3869" s="3"/>
      <c r="Q3869" s="3"/>
      <c r="R3869" s="3"/>
      <c r="S3869" s="3"/>
      <c r="T3869" s="3"/>
      <c r="U3869" s="3"/>
      <c r="V3869" s="3"/>
      <c r="W3869" s="3"/>
      <c r="X3869" s="3"/>
      <c r="Y3869" s="3"/>
      <c r="Z3869" s="3"/>
    </row>
    <row r="3870" spans="1:26" ht="15.6" x14ac:dyDescent="0.3">
      <c r="A3870" s="18" t="s">
        <v>8</v>
      </c>
      <c r="B3870" s="24" t="s">
        <v>3853</v>
      </c>
      <c r="C3870" s="2" t="str">
        <f ca="1">IFERROR(__xludf.DUMMYFUNCTION("GOOGLETRANSLATE(B3870, ""bn"", ""en"")"),"In Chapainawabganj, on the day of the Hindu festival, electricity was cut off and miscreants splashed paint on Tagore's statue.")</f>
        <v>In Chapainawabganj, on the day of the Hindu festival, electricity was cut off and miscreants splashed paint on Tagore's statue.</v>
      </c>
      <c r="D3870" s="5"/>
      <c r="E3870" s="5"/>
      <c r="F3870" s="5"/>
      <c r="G3870" s="5"/>
      <c r="H3870" s="5"/>
      <c r="I3870" s="5"/>
      <c r="J3870" s="5"/>
      <c r="K3870" s="5"/>
      <c r="L3870" s="5"/>
      <c r="M3870" s="5"/>
      <c r="N3870" s="5"/>
      <c r="O3870" s="5"/>
      <c r="P3870" s="5"/>
      <c r="Q3870" s="5"/>
      <c r="R3870" s="5"/>
      <c r="S3870" s="5"/>
      <c r="T3870" s="5"/>
      <c r="U3870" s="5"/>
      <c r="V3870" s="5"/>
      <c r="W3870" s="5"/>
      <c r="X3870" s="5"/>
      <c r="Y3870" s="5"/>
      <c r="Z3870" s="5"/>
    </row>
    <row r="3871" spans="1:26" ht="15.6" x14ac:dyDescent="0.3">
      <c r="A3871" s="18" t="s">
        <v>23</v>
      </c>
      <c r="B3871" s="24" t="s">
        <v>3854</v>
      </c>
      <c r="C3871" s="2" t="str">
        <f ca="1">IFERROR(__xludf.DUMMYFUNCTION("GOOGLETRANSLATE(B3871, ""bn"", ""en"")"),"Religious extremism is spreading rapidly among Muslim youth, who harbor hatred and aggressive attitudes towards those of other faiths.")</f>
        <v>Religious extremism is spreading rapidly among Muslim youth, who harbor hatred and aggressive attitudes towards those of other faiths.</v>
      </c>
      <c r="D3871" s="5"/>
      <c r="E3871" s="5"/>
      <c r="F3871" s="5"/>
      <c r="G3871" s="5"/>
      <c r="H3871" s="5"/>
      <c r="I3871" s="5"/>
      <c r="J3871" s="5"/>
      <c r="K3871" s="5"/>
      <c r="L3871" s="5"/>
      <c r="M3871" s="5"/>
      <c r="N3871" s="5"/>
      <c r="O3871" s="5"/>
      <c r="P3871" s="5"/>
      <c r="Q3871" s="5"/>
      <c r="R3871" s="5"/>
      <c r="S3871" s="5"/>
      <c r="T3871" s="5"/>
      <c r="U3871" s="5"/>
      <c r="V3871" s="5"/>
      <c r="W3871" s="5"/>
      <c r="X3871" s="5"/>
      <c r="Y3871" s="5"/>
      <c r="Z3871" s="5"/>
    </row>
    <row r="3872" spans="1:26" ht="15.6" x14ac:dyDescent="0.3">
      <c r="A3872" s="18" t="s">
        <v>5</v>
      </c>
      <c r="B3872" s="24" t="s">
        <v>3855</v>
      </c>
      <c r="C3872" s="2" t="str">
        <f ca="1">IFERROR(__xludf.DUMMYFUNCTION("GOOGLETRANSLATE(B3872, ""bn"", ""en"")"),"In June 2020, a journalist was killed due to sectarian hatred; Eleven people were killed during the protests.")</f>
        <v>In June 2020, a journalist was killed due to sectarian hatred; Eleven people were killed during the protests.</v>
      </c>
      <c r="D3872" s="5"/>
      <c r="E3872" s="5"/>
      <c r="F3872" s="5"/>
      <c r="G3872" s="5"/>
      <c r="H3872" s="5"/>
      <c r="I3872" s="5"/>
      <c r="J3872" s="5"/>
      <c r="K3872" s="5"/>
      <c r="L3872" s="5"/>
      <c r="M3872" s="5"/>
      <c r="N3872" s="5"/>
      <c r="O3872" s="5"/>
      <c r="P3872" s="5"/>
      <c r="Q3872" s="5"/>
      <c r="R3872" s="5"/>
      <c r="S3872" s="5"/>
      <c r="T3872" s="5"/>
      <c r="U3872" s="5"/>
      <c r="V3872" s="5"/>
      <c r="W3872" s="5"/>
      <c r="X3872" s="5"/>
      <c r="Y3872" s="5"/>
      <c r="Z3872" s="5"/>
    </row>
    <row r="3873" spans="1:26" ht="15.6" x14ac:dyDescent="0.3">
      <c r="A3873" s="18" t="s">
        <v>8</v>
      </c>
      <c r="B3873" s="25" t="s">
        <v>3856</v>
      </c>
      <c r="C3873" s="2" t="str">
        <f ca="1">IFERROR(__xludf.DUMMYFUNCTION("GOOGLETRANSLATE(B3873, ""bn"", ""en"")"),"The area of ​​harmony between the local Muslim and Buddhist communities has been affected the most in that incident. Even after 10 years, it still hasn't fully recovered.")</f>
        <v>The area of ​​harmony between the local Muslim and Buddhist communities has been affected the most in that incident. Even after 10 years, it still hasn't fully recovered.</v>
      </c>
      <c r="D3873" s="5"/>
      <c r="E3873" s="5"/>
      <c r="F3873" s="5"/>
      <c r="G3873" s="5"/>
      <c r="H3873" s="5"/>
      <c r="I3873" s="5"/>
      <c r="J3873" s="5"/>
      <c r="K3873" s="5"/>
      <c r="L3873" s="5"/>
      <c r="M3873" s="5"/>
      <c r="N3873" s="5"/>
      <c r="O3873" s="5"/>
      <c r="P3873" s="5"/>
      <c r="Q3873" s="5"/>
      <c r="R3873" s="5"/>
      <c r="S3873" s="5"/>
      <c r="T3873" s="5"/>
      <c r="U3873" s="5"/>
      <c r="V3873" s="5"/>
      <c r="W3873" s="5"/>
      <c r="X3873" s="5"/>
      <c r="Y3873" s="5"/>
      <c r="Z3873" s="5"/>
    </row>
    <row r="3874" spans="1:26" ht="15.6" x14ac:dyDescent="0.3">
      <c r="A3874" s="19" t="s">
        <v>8</v>
      </c>
      <c r="B3874" s="26" t="s">
        <v>3857</v>
      </c>
      <c r="C3874" s="2" t="str">
        <f ca="1">IFERROR(__xludf.DUMMYFUNCTION("GOOGLETRANSLATE(B3874, ""bn"", ""en"")"),"A group of unidentified assailants insulted the image of God by throwing black ink at a church in Rangamati.")</f>
        <v>A group of unidentified assailants insulted the image of God by throwing black ink at a church in Rangamati.</v>
      </c>
      <c r="D3874" s="5"/>
      <c r="E3874" s="5"/>
      <c r="F3874" s="5"/>
      <c r="G3874" s="5"/>
      <c r="H3874" s="5"/>
      <c r="I3874" s="5"/>
      <c r="J3874" s="5"/>
      <c r="K3874" s="5"/>
      <c r="L3874" s="5"/>
      <c r="M3874" s="5"/>
      <c r="N3874" s="5"/>
      <c r="O3874" s="5"/>
      <c r="P3874" s="5"/>
      <c r="Q3874" s="5"/>
      <c r="R3874" s="5"/>
      <c r="S3874" s="5"/>
      <c r="T3874" s="5"/>
      <c r="U3874" s="5"/>
      <c r="V3874" s="5"/>
      <c r="W3874" s="5"/>
      <c r="X3874" s="5"/>
      <c r="Y3874" s="5"/>
      <c r="Z3874" s="5"/>
    </row>
    <row r="3875" spans="1:26" ht="15.6" x14ac:dyDescent="0.3">
      <c r="A3875" s="18" t="s">
        <v>5</v>
      </c>
      <c r="B3875" s="24" t="s">
        <v>3858</v>
      </c>
      <c r="C3875" s="2" t="str">
        <f ca="1">IFERROR(__xludf.DUMMYFUNCTION("GOOGLETRANSLATE(B3875, ""bn"", ""en"")"),"At Gaibandha, 45 people lost their lives in clashes due to religious tensions. While the police failed to quell the violence, the government preached a message of peace and tolerance. Affected families seek shelter for safety.")</f>
        <v>At Gaibandha, 45 people lost their lives in clashes due to religious tensions. While the police failed to quell the violence, the government preached a message of peace and tolerance. Affected families seek shelter for safety.</v>
      </c>
      <c r="D3875" s="5"/>
      <c r="E3875" s="5"/>
      <c r="F3875" s="5"/>
      <c r="G3875" s="5"/>
      <c r="H3875" s="5"/>
      <c r="I3875" s="5"/>
      <c r="J3875" s="5"/>
      <c r="K3875" s="5"/>
      <c r="L3875" s="5"/>
      <c r="M3875" s="5"/>
      <c r="N3875" s="5"/>
      <c r="O3875" s="5"/>
      <c r="P3875" s="5"/>
      <c r="Q3875" s="5"/>
      <c r="R3875" s="5"/>
      <c r="S3875" s="5"/>
      <c r="T3875" s="5"/>
      <c r="U3875" s="5"/>
      <c r="V3875" s="5"/>
      <c r="W3875" s="5"/>
      <c r="X3875" s="5"/>
      <c r="Y3875" s="5"/>
      <c r="Z3875" s="5"/>
    </row>
    <row r="3876" spans="1:26" ht="15.6" x14ac:dyDescent="0.3">
      <c r="A3876" s="19" t="s">
        <v>23</v>
      </c>
      <c r="B3876" s="26" t="s">
        <v>3859</v>
      </c>
      <c r="C3876" s="2" t="str">
        <f ca="1">IFERROR(__xludf.DUMMYFUNCTION("GOOGLETRANSLATE(B3876, ""bn"", ""en"")"),"I am a Muslim; Those who have insulted the Quran should be severely punished. May Allah protect the Quran from the oppressors")</f>
        <v>I am a Muslim; Those who have insulted the Quran should be severely punished. May Allah protect the Quran from the oppressors</v>
      </c>
      <c r="D3876" s="7"/>
      <c r="E3876" s="7"/>
      <c r="F3876" s="7"/>
      <c r="G3876" s="7"/>
      <c r="H3876" s="7"/>
      <c r="I3876" s="7"/>
      <c r="J3876" s="7"/>
      <c r="K3876" s="5"/>
      <c r="L3876" s="5"/>
      <c r="M3876" s="5"/>
      <c r="N3876" s="5"/>
      <c r="O3876" s="5"/>
      <c r="P3876" s="5"/>
      <c r="Q3876" s="5"/>
      <c r="R3876" s="5"/>
      <c r="S3876" s="5"/>
      <c r="T3876" s="5"/>
      <c r="U3876" s="5"/>
      <c r="V3876" s="5"/>
      <c r="W3876" s="5"/>
      <c r="X3876" s="5"/>
      <c r="Y3876" s="5"/>
      <c r="Z3876" s="5"/>
    </row>
    <row r="3877" spans="1:26" ht="15.6" x14ac:dyDescent="0.3">
      <c r="A3877" s="18" t="s">
        <v>8</v>
      </c>
      <c r="B3877" s="25" t="s">
        <v>3860</v>
      </c>
      <c r="C3877" s="2" t="str">
        <f ca="1">IFERROR(__xludf.DUMMYFUNCTION("GOOGLETRANSLATE(B3877, ""bn"", ""en"")"),"Attack on house for preventing occupation of temple site in Dhamrai")</f>
        <v>Attack on house for preventing occupation of temple site in Dhamrai</v>
      </c>
      <c r="D3877" s="6"/>
      <c r="E3877" s="6"/>
      <c r="F3877" s="2"/>
      <c r="G3877" s="2"/>
      <c r="H3877" s="3"/>
      <c r="I3877" s="3"/>
      <c r="J3877" s="3"/>
      <c r="K3877" s="3"/>
      <c r="L3877" s="3"/>
      <c r="M3877" s="3"/>
      <c r="N3877" s="3"/>
      <c r="O3877" s="3"/>
      <c r="P3877" s="3"/>
      <c r="Q3877" s="3"/>
      <c r="R3877" s="3"/>
      <c r="S3877" s="3"/>
      <c r="T3877" s="3"/>
      <c r="U3877" s="3"/>
      <c r="V3877" s="3"/>
      <c r="W3877" s="3"/>
      <c r="X3877" s="3"/>
      <c r="Y3877" s="3"/>
      <c r="Z3877" s="3"/>
    </row>
    <row r="3878" spans="1:26" ht="15.6" x14ac:dyDescent="0.3">
      <c r="A3878" s="18" t="s">
        <v>8</v>
      </c>
      <c r="B3878" s="25" t="s">
        <v>3861</v>
      </c>
      <c r="C3878" s="2" t="str">
        <f ca="1">IFERROR(__xludf.DUMMYFUNCTION("GOOGLETRANSLATE(B3878, ""bn"", ""en"")"),"Bhuiyan house temple of Tongipara village was vandalized. Six people were injured in this attack.")</f>
        <v>Bhuiyan house temple of Tongipara village was vandalized. Six people were injured in this attack.</v>
      </c>
      <c r="D3878" s="6"/>
      <c r="E3878" s="2"/>
      <c r="F3878" s="2"/>
      <c r="G3878" s="2"/>
      <c r="H3878" s="3"/>
      <c r="I3878" s="3"/>
      <c r="J3878" s="3"/>
      <c r="K3878" s="3"/>
      <c r="L3878" s="3"/>
      <c r="M3878" s="3"/>
      <c r="N3878" s="3"/>
      <c r="O3878" s="3"/>
      <c r="P3878" s="3"/>
      <c r="Q3878" s="3"/>
      <c r="R3878" s="3"/>
      <c r="S3878" s="3"/>
      <c r="T3878" s="3"/>
      <c r="U3878" s="3"/>
      <c r="V3878" s="3"/>
      <c r="W3878" s="3"/>
      <c r="X3878" s="3"/>
      <c r="Y3878" s="3"/>
      <c r="Z3878" s="3"/>
    </row>
    <row r="3879" spans="1:26" ht="15.6" x14ac:dyDescent="0.3">
      <c r="A3879" s="18" t="s">
        <v>5</v>
      </c>
      <c r="B3879" s="24" t="s">
        <v>3862</v>
      </c>
      <c r="C3879" s="2" t="str">
        <f ca="1">IFERROR(__xludf.DUMMYFUNCTION("GOOGLETRANSLATE(B3879, ""bn"", ""en"")"),"In October 2017, a group imposed taxes on minorities and burned their homes when they failed to pay, killing 28 people.")</f>
        <v>In October 2017, a group imposed taxes on minorities and burned their homes when they failed to pay, killing 28 people.</v>
      </c>
      <c r="D3879" s="5"/>
      <c r="E3879" s="5"/>
      <c r="F3879" s="5"/>
      <c r="G3879" s="5"/>
      <c r="H3879" s="5"/>
      <c r="I3879" s="5"/>
      <c r="J3879" s="5"/>
      <c r="K3879" s="5"/>
      <c r="L3879" s="5"/>
      <c r="M3879" s="5"/>
      <c r="N3879" s="5"/>
      <c r="O3879" s="5"/>
      <c r="P3879" s="5"/>
      <c r="Q3879" s="5"/>
      <c r="R3879" s="5"/>
      <c r="S3879" s="5"/>
      <c r="T3879" s="5"/>
      <c r="U3879" s="5"/>
      <c r="V3879" s="5"/>
      <c r="W3879" s="5"/>
      <c r="X3879" s="5"/>
      <c r="Y3879" s="5"/>
      <c r="Z3879" s="5"/>
    </row>
    <row r="3880" spans="1:26" ht="15.6" x14ac:dyDescent="0.3">
      <c r="A3880" s="18" t="s">
        <v>3</v>
      </c>
      <c r="B3880" s="25" t="s">
        <v>3863</v>
      </c>
      <c r="C3880" s="2" t="str">
        <f ca="1">IFERROR(__xludf.DUMMYFUNCTION("GOOGLETRANSLATE(B3880, ""bn"", ""en"")"),"Religion guides us to the spiritual path, which is important to find meaning in our lives, but this path is never meant to create hatred or conflict against others, but to help make the world peaceful and prosperous.")</f>
        <v>Religion guides us to the spiritual path, which is important to find meaning in our lives, but this path is never meant to create hatred or conflict against others, but to help make the world peaceful and prosperous.</v>
      </c>
      <c r="D3880" s="5"/>
      <c r="E3880" s="5"/>
      <c r="F3880" s="5"/>
      <c r="G3880" s="5"/>
      <c r="H3880" s="5"/>
      <c r="I3880" s="5"/>
      <c r="J3880" s="5"/>
      <c r="K3880" s="5"/>
      <c r="L3880" s="5"/>
      <c r="M3880" s="5"/>
      <c r="N3880" s="5"/>
      <c r="O3880" s="5"/>
      <c r="P3880" s="5"/>
      <c r="Q3880" s="5"/>
      <c r="R3880" s="5"/>
      <c r="S3880" s="5"/>
      <c r="T3880" s="5"/>
      <c r="U3880" s="5"/>
      <c r="V3880" s="5"/>
      <c r="W3880" s="5"/>
      <c r="X3880" s="5"/>
      <c r="Y3880" s="5"/>
      <c r="Z3880" s="5"/>
    </row>
    <row r="3881" spans="1:26" ht="15.6" x14ac:dyDescent="0.3">
      <c r="A3881" s="18" t="s">
        <v>23</v>
      </c>
      <c r="B3881" s="24" t="s">
        <v>3864</v>
      </c>
      <c r="C3881" s="2" t="str">
        <f ca="1">IFERROR(__xludf.DUMMYFUNCTION("GOOGLETRANSLATE(B3881, ""bn"", ""en"")"),"Some youths of the Buddhist community make hate speech against other religions from the religious platform which causes social unrest.")</f>
        <v>Some youths of the Buddhist community make hate speech against other religions from the religious platform which causes social unrest.</v>
      </c>
      <c r="D3881" s="5"/>
      <c r="E3881" s="5"/>
      <c r="F3881" s="5"/>
      <c r="G3881" s="5"/>
      <c r="H3881" s="5"/>
      <c r="I3881" s="5"/>
      <c r="J3881" s="5"/>
      <c r="K3881" s="5"/>
      <c r="L3881" s="5"/>
      <c r="M3881" s="5"/>
      <c r="N3881" s="5"/>
      <c r="O3881" s="5"/>
      <c r="P3881" s="5"/>
      <c r="Q3881" s="5"/>
      <c r="R3881" s="5"/>
      <c r="S3881" s="5"/>
      <c r="T3881" s="5"/>
      <c r="U3881" s="5"/>
      <c r="V3881" s="5"/>
      <c r="W3881" s="5"/>
      <c r="X3881" s="5"/>
      <c r="Y3881" s="5"/>
      <c r="Z3881" s="5"/>
    </row>
    <row r="3882" spans="1:26" ht="15.6" x14ac:dyDescent="0.3">
      <c r="A3882" s="19" t="s">
        <v>5</v>
      </c>
      <c r="B3882" s="26" t="s">
        <v>3865</v>
      </c>
      <c r="C3882" s="2" t="str">
        <f ca="1">IFERROR(__xludf.DUMMYFUNCTION("GOOGLETRANSLATE(B3882, ""bn"", ""en"")"),"133 people were killed and around 150 injured when gunmen opened fire at a theater in a city in Bangladesh.")</f>
        <v>133 people were killed and around 150 injured when gunmen opened fire at a theater in a city in Bangladesh.</v>
      </c>
      <c r="D3882" s="7"/>
      <c r="E3882" s="7"/>
      <c r="F3882" s="7"/>
      <c r="G3882" s="5"/>
      <c r="H3882" s="5"/>
      <c r="I3882" s="5"/>
      <c r="J3882" s="5"/>
      <c r="K3882" s="5"/>
      <c r="L3882" s="5"/>
      <c r="M3882" s="5"/>
      <c r="N3882" s="5"/>
      <c r="O3882" s="5"/>
      <c r="P3882" s="5"/>
      <c r="Q3882" s="5"/>
      <c r="R3882" s="5"/>
      <c r="S3882" s="5"/>
      <c r="T3882" s="5"/>
      <c r="U3882" s="5"/>
      <c r="V3882" s="5"/>
      <c r="W3882" s="5"/>
      <c r="X3882" s="5"/>
      <c r="Y3882" s="5"/>
      <c r="Z3882" s="5"/>
    </row>
    <row r="3883" spans="1:26" ht="15.6" x14ac:dyDescent="0.3">
      <c r="A3883" s="19" t="s">
        <v>23</v>
      </c>
      <c r="B3883" s="26" t="s">
        <v>3866</v>
      </c>
      <c r="C3883" s="2" t="str">
        <f ca="1">IFERROR(__xludf.DUMMYFUNCTION("GOOGLETRANSLATE(B3883, ""bn"", ""en"")"),"No need to spread baseless news. This mosque has the touch of Adam (pbuh), so only Muslims have rights.")</f>
        <v>No need to spread baseless news. This mosque has the touch of Adam (pbuh), so only Muslims have rights.</v>
      </c>
      <c r="D3883" s="7"/>
      <c r="E3883" s="7"/>
      <c r="F3883" s="7"/>
      <c r="G3883" s="7"/>
      <c r="H3883" s="7"/>
      <c r="I3883" s="5"/>
      <c r="J3883" s="5"/>
      <c r="K3883" s="5"/>
      <c r="L3883" s="5"/>
      <c r="M3883" s="5"/>
      <c r="N3883" s="5"/>
      <c r="O3883" s="5"/>
      <c r="P3883" s="5"/>
      <c r="Q3883" s="5"/>
      <c r="R3883" s="5"/>
      <c r="S3883" s="5"/>
      <c r="T3883" s="5"/>
      <c r="U3883" s="5"/>
      <c r="V3883" s="5"/>
      <c r="W3883" s="5"/>
      <c r="X3883" s="5"/>
      <c r="Y3883" s="5"/>
      <c r="Z3883" s="5"/>
    </row>
    <row r="3884" spans="1:26" ht="15.6" x14ac:dyDescent="0.3">
      <c r="A3884" s="18" t="s">
        <v>5</v>
      </c>
      <c r="B3884" s="25" t="s">
        <v>3867</v>
      </c>
      <c r="C3884" s="2" t="str">
        <f ca="1">IFERROR(__xludf.DUMMYFUNCTION("GOOGLETRANSLATE(B3884, ""bn"", ""en"")"),"Innocents are being killed repeatedly in the country by committing suicide attacks in the name of protecting religion, as if it is not self-sacrifice but a new religious definition of cruelty is constantly being created.")</f>
        <v>Innocents are being killed repeatedly in the country by committing suicide attacks in the name of protecting religion, as if it is not self-sacrifice but a new religious definition of cruelty is constantly being created.</v>
      </c>
      <c r="D3884" s="5"/>
      <c r="E3884" s="5"/>
      <c r="F3884" s="5"/>
      <c r="G3884" s="5"/>
      <c r="H3884" s="5"/>
      <c r="I3884" s="5"/>
      <c r="J3884" s="5"/>
      <c r="K3884" s="5"/>
      <c r="L3884" s="5"/>
      <c r="M3884" s="5"/>
      <c r="N3884" s="5"/>
      <c r="O3884" s="5"/>
      <c r="P3884" s="5"/>
      <c r="Q3884" s="5"/>
      <c r="R3884" s="5"/>
      <c r="S3884" s="5"/>
      <c r="T3884" s="5"/>
      <c r="U3884" s="5"/>
      <c r="V3884" s="5"/>
      <c r="W3884" s="5"/>
      <c r="X3884" s="5"/>
      <c r="Y3884" s="5"/>
      <c r="Z3884" s="5"/>
    </row>
    <row r="3885" spans="1:26" ht="15.6" x14ac:dyDescent="0.3">
      <c r="A3885" s="19" t="s">
        <v>8</v>
      </c>
      <c r="B3885" s="26" t="s">
        <v>3868</v>
      </c>
      <c r="C3885" s="2" t="str">
        <f ca="1">IFERROR(__xludf.DUMMYFUNCTION("GOOGLETRANSLATE(B3885, ""bn"", ""en"")"),"Rumors were spread in Satkhira that Hindu youths had defaced images of Muslim women, followed by attacks on temples and burning of houses.")</f>
        <v>Rumors were spread in Satkhira that Hindu youths had defaced images of Muslim women, followed by attacks on temples and burning of houses.</v>
      </c>
      <c r="D3885" s="5"/>
      <c r="E3885" s="5"/>
      <c r="F3885" s="5"/>
      <c r="G3885" s="5"/>
      <c r="H3885" s="5"/>
      <c r="I3885" s="5"/>
      <c r="J3885" s="5"/>
      <c r="K3885" s="5"/>
      <c r="L3885" s="5"/>
      <c r="M3885" s="5"/>
      <c r="N3885" s="5"/>
      <c r="O3885" s="5"/>
      <c r="P3885" s="5"/>
      <c r="Q3885" s="5"/>
      <c r="R3885" s="5"/>
      <c r="S3885" s="5"/>
      <c r="T3885" s="5"/>
      <c r="U3885" s="5"/>
      <c r="V3885" s="5"/>
      <c r="W3885" s="5"/>
      <c r="X3885" s="5"/>
      <c r="Y3885" s="5"/>
      <c r="Z3885" s="5"/>
    </row>
    <row r="3886" spans="1:26" ht="15.6" x14ac:dyDescent="0.3">
      <c r="A3886" s="18" t="s">
        <v>3</v>
      </c>
      <c r="B3886" s="25" t="s">
        <v>3869</v>
      </c>
      <c r="C3886" s="2" t="str">
        <f ca="1">IFERROR(__xludf.DUMMYFUNCTION("GOOGLETRANSLATE(B3886, ""bn"", ""en"")"),"The video will be very useful for everyone. I think it would be better to make a video with the surahs that everyone recites all the time like: Surah Yasin, Surah Ar-Rahman etc. Thank you very much and best wishes.")</f>
        <v>The video will be very useful for everyone. I think it would be better to make a video with the surahs that everyone recites all the time like: Surah Yasin, Surah Ar-Rahman etc. Thank you very much and best wishes.</v>
      </c>
      <c r="D3886" s="5"/>
      <c r="E3886" s="5"/>
      <c r="F3886" s="5"/>
      <c r="G3886" s="5"/>
      <c r="H3886" s="5"/>
      <c r="I3886" s="5"/>
      <c r="J3886" s="5"/>
      <c r="K3886" s="5"/>
      <c r="L3886" s="5"/>
      <c r="M3886" s="5"/>
      <c r="N3886" s="5"/>
      <c r="O3886" s="5"/>
      <c r="P3886" s="5"/>
      <c r="Q3886" s="5"/>
      <c r="R3886" s="5"/>
      <c r="S3886" s="5"/>
      <c r="T3886" s="5"/>
      <c r="U3886" s="5"/>
      <c r="V3886" s="5"/>
      <c r="W3886" s="5"/>
      <c r="X3886" s="5"/>
      <c r="Y3886" s="5"/>
      <c r="Z3886" s="5"/>
    </row>
    <row r="3887" spans="1:26" ht="15.6" x14ac:dyDescent="0.3">
      <c r="A3887" s="18" t="s">
        <v>8</v>
      </c>
      <c r="B3887" s="25" t="s">
        <v>3870</v>
      </c>
      <c r="C3887" s="2" t="str">
        <f ca="1">IFERROR(__xludf.DUMMYFUNCTION("GOOGLETRANSLATE(B3887, ""bn"", ""en"")"),"Recently, in Nasirnagar, Brahmanbaria, many minority people are afraid to share their thoughts even though they know the extreme danger of fanatics!")</f>
        <v>Recently, in Nasirnagar, Brahmanbaria, many minority people are afraid to share their thoughts even though they know the extreme danger of fanatics!</v>
      </c>
      <c r="D3887" s="2"/>
      <c r="E3887" s="2"/>
      <c r="F3887" s="2"/>
      <c r="G3887" s="2"/>
      <c r="H3887" s="5"/>
      <c r="I3887" s="5"/>
      <c r="J3887" s="5"/>
      <c r="K3887" s="5"/>
      <c r="L3887" s="5"/>
      <c r="M3887" s="5"/>
      <c r="N3887" s="5"/>
      <c r="O3887" s="5"/>
      <c r="P3887" s="5"/>
      <c r="Q3887" s="5"/>
      <c r="R3887" s="5"/>
      <c r="S3887" s="5"/>
      <c r="T3887" s="5"/>
      <c r="U3887" s="5"/>
      <c r="V3887" s="5"/>
      <c r="W3887" s="5"/>
      <c r="X3887" s="5"/>
      <c r="Y3887" s="5"/>
      <c r="Z3887" s="5"/>
    </row>
    <row r="3888" spans="1:26" ht="15.6" x14ac:dyDescent="0.3">
      <c r="A3888" s="19" t="s">
        <v>5</v>
      </c>
      <c r="B3888" s="26" t="s">
        <v>3871</v>
      </c>
      <c r="C3888" s="2" t="str">
        <f ca="1">IFERROR(__xludf.DUMMYFUNCTION("GOOGLETRANSLATE(B3888, ""bn"", ""en"")"),"A few months after returning from the Farewell Hajj in 632 AD, he fell ill and died. By the time of his death, Islam was established in most of the Arabian Peninsula.")</f>
        <v>A few months after returning from the Farewell Hajj in 632 AD, he fell ill and died. By the time of his death, Islam was established in most of the Arabian Peninsula.</v>
      </c>
      <c r="D3888" s="5"/>
      <c r="E3888" s="5"/>
      <c r="F3888" s="5"/>
      <c r="G3888" s="5"/>
      <c r="H3888" s="5"/>
      <c r="I3888" s="5"/>
      <c r="J3888" s="5"/>
      <c r="K3888" s="5"/>
      <c r="L3888" s="5"/>
      <c r="M3888" s="5"/>
      <c r="N3888" s="5"/>
      <c r="O3888" s="5"/>
      <c r="P3888" s="5"/>
      <c r="Q3888" s="5"/>
      <c r="R3888" s="5"/>
      <c r="S3888" s="5"/>
      <c r="T3888" s="5"/>
      <c r="U3888" s="5"/>
      <c r="V3888" s="5"/>
      <c r="W3888" s="5"/>
      <c r="X3888" s="5"/>
      <c r="Y3888" s="5"/>
      <c r="Z3888" s="5"/>
    </row>
    <row r="3889" spans="1:26" ht="15.6" x14ac:dyDescent="0.3">
      <c r="A3889" s="19" t="s">
        <v>5</v>
      </c>
      <c r="B3889" s="26" t="s">
        <v>3872</v>
      </c>
      <c r="C3889" s="2" t="str">
        <f ca="1">IFERROR(__xludf.DUMMYFUNCTION("GOOGLETRANSLATE(B3889, ""bn"", ""en"")"),"According to the report of the World Health Organization, about 1 million people commit suicide every year in the world. Suicide is the thirteenth leading cause of death worldwide.")</f>
        <v>According to the report of the World Health Organization, about 1 million people commit suicide every year in the world. Suicide is the thirteenth leading cause of death worldwide.</v>
      </c>
      <c r="D3889" s="5"/>
      <c r="E3889" s="5"/>
      <c r="F3889" s="5"/>
      <c r="G3889" s="5"/>
      <c r="H3889" s="5"/>
      <c r="I3889" s="5"/>
      <c r="J3889" s="5"/>
      <c r="K3889" s="5"/>
      <c r="L3889" s="5"/>
      <c r="M3889" s="5"/>
      <c r="N3889" s="5"/>
      <c r="O3889" s="5"/>
      <c r="P3889" s="5"/>
      <c r="Q3889" s="5"/>
      <c r="R3889" s="5"/>
      <c r="S3889" s="5"/>
      <c r="T3889" s="5"/>
      <c r="U3889" s="5"/>
      <c r="V3889" s="5"/>
      <c r="W3889" s="5"/>
      <c r="X3889" s="5"/>
      <c r="Y3889" s="5"/>
      <c r="Z3889" s="5"/>
    </row>
    <row r="3890" spans="1:26" ht="15.6" x14ac:dyDescent="0.3">
      <c r="A3890" s="19" t="s">
        <v>3</v>
      </c>
      <c r="B3890" s="26" t="s">
        <v>3873</v>
      </c>
      <c r="C3890" s="2" t="str">
        <f ca="1">IFERROR(__xludf.DUMMYFUNCTION("GOOGLETRANSLATE(B3890, ""bn"", ""en"")"),"Guide them to the path of truth, impart right knowledge and help them move forward on the path of goodness by infusing the peaceful teachings of Islam into their hearts. 'La ilaha illallahu muhammadur rasulullah sa.'")</f>
        <v>Guide them to the path of truth, impart right knowledge and help them move forward on the path of goodness by infusing the peaceful teachings of Islam into their hearts. 'La ilaha illallahu muhammadur rasulullah sa.'</v>
      </c>
      <c r="D3890" s="7"/>
      <c r="E3890" s="7"/>
      <c r="F3890" s="7"/>
      <c r="G3890" s="7"/>
      <c r="H3890" s="7"/>
      <c r="I3890" s="7"/>
      <c r="J3890" s="7"/>
      <c r="K3890" s="7"/>
      <c r="L3890" s="7"/>
      <c r="M3890" s="7"/>
      <c r="N3890" s="7"/>
      <c r="O3890" s="7"/>
      <c r="P3890" s="5"/>
      <c r="Q3890" s="5"/>
      <c r="R3890" s="5"/>
      <c r="S3890" s="5"/>
      <c r="T3890" s="5"/>
      <c r="U3890" s="5"/>
      <c r="V3890" s="5"/>
      <c r="W3890" s="5"/>
      <c r="X3890" s="5"/>
      <c r="Y3890" s="5"/>
      <c r="Z3890" s="5"/>
    </row>
    <row r="3891" spans="1:26" ht="15.6" x14ac:dyDescent="0.3">
      <c r="A3891" s="18" t="s">
        <v>23</v>
      </c>
      <c r="B3891" s="25" t="s">
        <v>3874</v>
      </c>
      <c r="C3891" s="2" t="str">
        <f ca="1">IFERROR(__xludf.DUMMYFUNCTION("GOOGLETRANSLATE(B3891, ""bn"", ""en"")"),"Muslim man arrested for trying to occupy Hindu Shiva temple in Jessore")</f>
        <v>Muslim man arrested for trying to occupy Hindu Shiva temple in Jessore</v>
      </c>
      <c r="D3891" s="5"/>
      <c r="E3891" s="5"/>
      <c r="F3891" s="5"/>
      <c r="G3891" s="5"/>
      <c r="H3891" s="5"/>
      <c r="I3891" s="5"/>
      <c r="J3891" s="5"/>
      <c r="K3891" s="5"/>
      <c r="L3891" s="5"/>
      <c r="M3891" s="5"/>
      <c r="N3891" s="5"/>
      <c r="O3891" s="5"/>
      <c r="P3891" s="5"/>
      <c r="Q3891" s="5"/>
      <c r="R3891" s="5"/>
      <c r="S3891" s="5"/>
      <c r="T3891" s="5"/>
      <c r="U3891" s="5"/>
      <c r="V3891" s="5"/>
      <c r="W3891" s="5"/>
      <c r="X3891" s="5"/>
      <c r="Y3891" s="5"/>
      <c r="Z3891" s="5"/>
    </row>
    <row r="3892" spans="1:26" ht="15.6" x14ac:dyDescent="0.3">
      <c r="A3892" s="19" t="s">
        <v>8</v>
      </c>
      <c r="B3892" s="26" t="s">
        <v>3875</v>
      </c>
      <c r="C3892" s="2" t="str">
        <f ca="1">IFERROR(__xludf.DUMMYFUNCTION("GOOGLETRANSLATE(B3892, ""bn"", ""en"")"),"A Durga Puja pandal in Dhaka was attacked and vandalized over a Quran offering, damaging homes and businesses of the Hindu community and leaving one person dead.")</f>
        <v>A Durga Puja pandal in Dhaka was attacked and vandalized over a Quran offering, damaging homes and businesses of the Hindu community and leaving one person dead.</v>
      </c>
      <c r="D3892" s="7"/>
      <c r="E3892" s="7"/>
      <c r="F3892" s="7"/>
      <c r="G3892" s="7"/>
      <c r="H3892" s="7"/>
      <c r="I3892" s="7"/>
      <c r="J3892" s="7"/>
      <c r="K3892" s="7"/>
      <c r="L3892" s="7"/>
      <c r="M3892" s="7"/>
      <c r="N3892" s="5"/>
      <c r="O3892" s="5"/>
      <c r="P3892" s="5"/>
      <c r="Q3892" s="5"/>
      <c r="R3892" s="5"/>
      <c r="S3892" s="5"/>
      <c r="T3892" s="5"/>
      <c r="U3892" s="5"/>
      <c r="V3892" s="5"/>
      <c r="W3892" s="5"/>
      <c r="X3892" s="5"/>
      <c r="Y3892" s="5"/>
      <c r="Z3892" s="5"/>
    </row>
    <row r="3893" spans="1:26" ht="15.6" x14ac:dyDescent="0.3">
      <c r="A3893" s="19" t="s">
        <v>3</v>
      </c>
      <c r="B3893" s="26" t="s">
        <v>3876</v>
      </c>
      <c r="C3893" s="2" t="str">
        <f ca="1">IFERROR(__xludf.DUMMYFUNCTION("GOOGLETRANSLATE(B3893, ""bn"", ""en"")"),"If my behavior is bad, an ignorant Muslim or a non-Muslim with a negative view of Islam may get a wrong idea about Islam and Muslims through me.")</f>
        <v>If my behavior is bad, an ignorant Muslim or a non-Muslim with a negative view of Islam may get a wrong idea about Islam and Muslims through me.</v>
      </c>
      <c r="D3893" s="7"/>
      <c r="E3893" s="7"/>
      <c r="F3893" s="7"/>
      <c r="G3893" s="7"/>
      <c r="H3893" s="7"/>
      <c r="I3893" s="7"/>
      <c r="J3893" s="7"/>
      <c r="K3893" s="7"/>
      <c r="L3893" s="7"/>
      <c r="M3893" s="7"/>
      <c r="N3893" s="5"/>
      <c r="O3893" s="5"/>
      <c r="P3893" s="5"/>
      <c r="Q3893" s="5"/>
      <c r="R3893" s="5"/>
      <c r="S3893" s="5"/>
      <c r="T3893" s="5"/>
      <c r="U3893" s="5"/>
      <c r="V3893" s="5"/>
      <c r="W3893" s="5"/>
      <c r="X3893" s="5"/>
      <c r="Y3893" s="5"/>
      <c r="Z3893" s="5"/>
    </row>
    <row r="3894" spans="1:26" ht="15.6" x14ac:dyDescent="0.3">
      <c r="A3894" s="18" t="s">
        <v>5</v>
      </c>
      <c r="B3894" s="24" t="s">
        <v>3877</v>
      </c>
      <c r="C3894" s="2" t="str">
        <f ca="1">IFERROR(__xludf.DUMMYFUNCTION("GOOGLETRANSLATE(B3894, ""bn"", ""en"")"),"In January 2019, 30 people were killed in an attack on a religious group.")</f>
        <v>In January 2019, 30 people were killed in an attack on a religious group.</v>
      </c>
      <c r="D3894" s="5"/>
      <c r="E3894" s="5"/>
      <c r="F3894" s="5"/>
      <c r="G3894" s="5"/>
      <c r="H3894" s="5"/>
      <c r="I3894" s="5"/>
      <c r="J3894" s="5"/>
      <c r="K3894" s="5"/>
      <c r="L3894" s="5"/>
      <c r="M3894" s="5"/>
      <c r="N3894" s="5"/>
      <c r="O3894" s="5"/>
      <c r="P3894" s="5"/>
      <c r="Q3894" s="5"/>
      <c r="R3894" s="5"/>
      <c r="S3894" s="5"/>
      <c r="T3894" s="5"/>
      <c r="U3894" s="5"/>
      <c r="V3894" s="5"/>
      <c r="W3894" s="5"/>
      <c r="X3894" s="5"/>
      <c r="Y3894" s="5"/>
      <c r="Z3894" s="5"/>
    </row>
    <row r="3895" spans="1:26" ht="15.6" x14ac:dyDescent="0.3">
      <c r="A3895" s="19" t="s">
        <v>8</v>
      </c>
      <c r="B3895" s="26" t="s">
        <v>3878</v>
      </c>
      <c r="C3895" s="2" t="str">
        <f ca="1">IFERROR(__xludf.DUMMYFUNCTION("GOOGLETRANSLATE(B3895, ""bn"", ""en"")"),"First of all, our main point about the main topic of attack is that attacking religious centers or places of worship of any minority community or any deviant or outcast sect of Islam is in no way a lawful act. It is not an act prescribed or permitted by I"&amp;"slam for any Muslim. In the eyes of Islam, such attacks are reprehensible and punishable crimes.")</f>
        <v>First of all, our main point about the main topic of attack is that attacking religious centers or places of worship of any minority community or any deviant or outcast sect of Islam is in no way a lawful act. It is not an act prescribed or permitted by Islam for any Muslim. In the eyes of Islam, such attacks are reprehensible and punishable crimes.</v>
      </c>
      <c r="D3895" s="7"/>
      <c r="E3895" s="7"/>
      <c r="F3895" s="7"/>
      <c r="G3895" s="7"/>
      <c r="H3895" s="7"/>
      <c r="I3895" s="7"/>
      <c r="J3895" s="7"/>
      <c r="K3895" s="7"/>
      <c r="L3895" s="7"/>
      <c r="M3895" s="7"/>
      <c r="N3895" s="7"/>
      <c r="O3895" s="7"/>
      <c r="P3895" s="7"/>
      <c r="Q3895" s="7"/>
      <c r="R3895" s="5"/>
      <c r="S3895" s="5"/>
      <c r="T3895" s="5"/>
      <c r="U3895" s="5"/>
      <c r="V3895" s="5"/>
      <c r="W3895" s="5"/>
      <c r="X3895" s="5"/>
      <c r="Y3895" s="5"/>
      <c r="Z3895" s="5"/>
    </row>
    <row r="3896" spans="1:26" ht="15.6" x14ac:dyDescent="0.3">
      <c r="A3896" s="18" t="s">
        <v>5</v>
      </c>
      <c r="B3896" s="25" t="s">
        <v>3879</v>
      </c>
      <c r="C3896" s="2" t="str">
        <f ca="1">IFERROR(__xludf.DUMMYFUNCTION("GOOGLETRANSLATE(B3896, ""bn"", ""en"")"),"Police have arrested three people in Rangamati communal violence and Anik Kumar Chakma murder case. On Friday (October 4), one of the arrested accused gave a confessional statement when he was brought to court.")</f>
        <v>Police have arrested three people in Rangamati communal violence and Anik Kumar Chakma murder case. On Friday (October 4), one of the arrested accused gave a confessional statement when he was brought to court.</v>
      </c>
      <c r="D3896" s="5"/>
      <c r="E3896" s="5"/>
      <c r="F3896" s="5"/>
      <c r="G3896" s="5"/>
      <c r="H3896" s="5"/>
      <c r="I3896" s="5"/>
      <c r="J3896" s="5"/>
      <c r="K3896" s="5"/>
      <c r="L3896" s="5"/>
      <c r="M3896" s="5"/>
      <c r="N3896" s="5"/>
      <c r="O3896" s="5"/>
      <c r="P3896" s="5"/>
      <c r="Q3896" s="5"/>
      <c r="R3896" s="5"/>
      <c r="S3896" s="5"/>
      <c r="T3896" s="5"/>
      <c r="U3896" s="5"/>
      <c r="V3896" s="5"/>
      <c r="W3896" s="5"/>
      <c r="X3896" s="5"/>
      <c r="Y3896" s="5"/>
      <c r="Z3896" s="5"/>
    </row>
    <row r="3897" spans="1:26" ht="15.6" x14ac:dyDescent="0.3">
      <c r="A3897" s="18" t="s">
        <v>3</v>
      </c>
      <c r="B3897" s="24" t="s">
        <v>3880</v>
      </c>
      <c r="C3897" s="2" t="str">
        <f ca="1">IFERROR(__xludf.DUMMYFUNCTION("GOOGLETRANSLATE(B3897, ""bn"", ""en"")"),"The Holy Gita, the Quran, the Bible or the Tripitaka, each contains the message of following the path of human welfare, truth and justice.")</f>
        <v>The Holy Gita, the Quran, the Bible or the Tripitaka, each contains the message of following the path of human welfare, truth and justice.</v>
      </c>
      <c r="D3897" s="5"/>
      <c r="E3897" s="5"/>
      <c r="F3897" s="5"/>
      <c r="G3897" s="5"/>
      <c r="H3897" s="5"/>
      <c r="I3897" s="5"/>
      <c r="J3897" s="5"/>
      <c r="K3897" s="5"/>
      <c r="L3897" s="5"/>
      <c r="M3897" s="5"/>
      <c r="N3897" s="5"/>
      <c r="O3897" s="5"/>
      <c r="P3897" s="5"/>
      <c r="Q3897" s="5"/>
      <c r="R3897" s="5"/>
      <c r="S3897" s="5"/>
      <c r="T3897" s="5"/>
      <c r="U3897" s="5"/>
      <c r="V3897" s="5"/>
      <c r="W3897" s="5"/>
      <c r="X3897" s="5"/>
      <c r="Y3897" s="5"/>
      <c r="Z3897" s="5"/>
    </row>
    <row r="3898" spans="1:26" ht="15.6" x14ac:dyDescent="0.3">
      <c r="A3898" s="18" t="s">
        <v>5</v>
      </c>
      <c r="B3898" s="24" t="s">
        <v>3881</v>
      </c>
      <c r="C3898" s="2" t="str">
        <f ca="1">IFERROR(__xludf.DUMMYFUNCTION("GOOGLETRANSLATE(B3898, ""bn"", ""en"")"),"44 people were killed in Naogaon clashes due to religious hatred. The police failed to control the situation, the government ordered calm. Many families leave the village for security reasons.")</f>
        <v>44 people were killed in Naogaon clashes due to religious hatred. The police failed to control the situation, the government ordered calm. Many families leave the village for security reasons.</v>
      </c>
      <c r="D3898" s="5"/>
      <c r="E3898" s="5"/>
      <c r="F3898" s="5"/>
      <c r="G3898" s="5"/>
      <c r="H3898" s="5"/>
      <c r="I3898" s="5"/>
      <c r="J3898" s="5"/>
      <c r="K3898" s="5"/>
      <c r="L3898" s="5"/>
      <c r="M3898" s="5"/>
      <c r="N3898" s="5"/>
      <c r="O3898" s="5"/>
      <c r="P3898" s="5"/>
      <c r="Q3898" s="5"/>
      <c r="R3898" s="5"/>
      <c r="S3898" s="5"/>
      <c r="T3898" s="5"/>
      <c r="U3898" s="5"/>
      <c r="V3898" s="5"/>
      <c r="W3898" s="5"/>
      <c r="X3898" s="5"/>
      <c r="Y3898" s="5"/>
      <c r="Z3898" s="5"/>
    </row>
    <row r="3899" spans="1:26" ht="15.6" x14ac:dyDescent="0.3">
      <c r="A3899" s="19" t="s">
        <v>3</v>
      </c>
      <c r="B3899" s="26" t="s">
        <v>3882</v>
      </c>
      <c r="C3899" s="2" t="str">
        <f ca="1">IFERROR(__xludf.DUMMYFUNCTION("GOOGLETRANSLATE(B3899, ""bn"", ""en"")"),"right decision Also, we should all be respectful of each other's religion. Islam has taught us that we should not insult any religion and cooperate in the observance of all religions.")</f>
        <v>right decision Also, we should all be respectful of each other's religion. Islam has taught us that we should not insult any religion and cooperate in the observance of all religions.</v>
      </c>
      <c r="D3899" s="5"/>
      <c r="E3899" s="5"/>
      <c r="F3899" s="5"/>
      <c r="G3899" s="5"/>
      <c r="H3899" s="5"/>
      <c r="I3899" s="5"/>
      <c r="J3899" s="5"/>
      <c r="K3899" s="5"/>
      <c r="L3899" s="5"/>
      <c r="M3899" s="5"/>
      <c r="N3899" s="5"/>
      <c r="O3899" s="5"/>
      <c r="P3899" s="5"/>
      <c r="Q3899" s="5"/>
      <c r="R3899" s="5"/>
      <c r="S3899" s="5"/>
      <c r="T3899" s="5"/>
      <c r="U3899" s="5"/>
      <c r="V3899" s="5"/>
      <c r="W3899" s="5"/>
      <c r="X3899" s="5"/>
      <c r="Y3899" s="5"/>
      <c r="Z3899" s="5"/>
    </row>
    <row r="3900" spans="1:26" ht="15.6" x14ac:dyDescent="0.3">
      <c r="A3900" s="19" t="s">
        <v>8</v>
      </c>
      <c r="B3900" s="26" t="s">
        <v>3883</v>
      </c>
      <c r="C3900" s="2" t="str">
        <f ca="1">IFERROR(__xludf.DUMMYFUNCTION("GOOGLETRANSLATE(B3900, ""bn"", ""en"")"),"You have wealth with Abu Sufyan, Muhammad and his companions are coming forward to attack him. So I don't think you will get it. So go ahead for help, go ahead")</f>
        <v>You have wealth with Abu Sufyan, Muhammad and his companions are coming forward to attack him. So I don't think you will get it. So go ahead for help, go ahead</v>
      </c>
      <c r="D3900" s="5"/>
      <c r="E3900" s="5"/>
      <c r="F3900" s="5"/>
      <c r="G3900" s="5"/>
      <c r="H3900" s="5"/>
      <c r="I3900" s="5"/>
      <c r="J3900" s="5"/>
      <c r="K3900" s="5"/>
      <c r="L3900" s="5"/>
      <c r="M3900" s="5"/>
      <c r="N3900" s="5"/>
      <c r="O3900" s="5"/>
      <c r="P3900" s="5"/>
      <c r="Q3900" s="5"/>
      <c r="R3900" s="5"/>
      <c r="S3900" s="5"/>
      <c r="T3900" s="5"/>
      <c r="U3900" s="5"/>
      <c r="V3900" s="5"/>
      <c r="W3900" s="5"/>
      <c r="X3900" s="5"/>
      <c r="Y3900" s="5"/>
      <c r="Z3900" s="5"/>
    </row>
    <row r="3901" spans="1:26" ht="15.6" x14ac:dyDescent="0.3">
      <c r="A3901" s="18" t="s">
        <v>23</v>
      </c>
      <c r="B3901" s="25" t="s">
        <v>3884</v>
      </c>
      <c r="C3901" s="2" t="str">
        <f ca="1">IFERROR(__xludf.DUMMYFUNCTION("GOOGLETRANSLATE(B3901, ""bn"", ""en"")"),"Civilians can directly say, ""We are against Islam.""")</f>
        <v>Civilians can directly say, "We are against Islam."</v>
      </c>
      <c r="D3901" s="5"/>
      <c r="E3901" s="5"/>
      <c r="F3901" s="5"/>
      <c r="G3901" s="5"/>
      <c r="H3901" s="5"/>
      <c r="I3901" s="5"/>
      <c r="J3901" s="5"/>
      <c r="K3901" s="5"/>
      <c r="L3901" s="5"/>
      <c r="M3901" s="5"/>
      <c r="N3901" s="5"/>
      <c r="O3901" s="5"/>
      <c r="P3901" s="5"/>
      <c r="Q3901" s="5"/>
      <c r="R3901" s="5"/>
      <c r="S3901" s="5"/>
      <c r="T3901" s="5"/>
      <c r="U3901" s="5"/>
      <c r="V3901" s="5"/>
      <c r="W3901" s="5"/>
      <c r="X3901" s="5"/>
      <c r="Y3901" s="5"/>
      <c r="Z3901" s="5"/>
    </row>
    <row r="3902" spans="1:26" ht="15.6" x14ac:dyDescent="0.3">
      <c r="A3902" s="18" t="s">
        <v>8</v>
      </c>
      <c r="B3902" s="25" t="s">
        <v>3885</v>
      </c>
      <c r="C3902" s="2" t="str">
        <f ca="1">IFERROR(__xludf.DUMMYFUNCTION("GOOGLETRANSLATE(B3902, ""bn"", ""en"")"),"A man attacked a place of worship and vandalized religious symbols out of religious hatred. Three people were injured in this incident")</f>
        <v>A man attacked a place of worship and vandalized religious symbols out of religious hatred. Three people were injured in this incident</v>
      </c>
      <c r="D3902" s="5"/>
      <c r="E3902" s="5"/>
      <c r="F3902" s="5"/>
      <c r="G3902" s="5"/>
      <c r="H3902" s="5"/>
      <c r="I3902" s="5"/>
      <c r="J3902" s="5"/>
      <c r="K3902" s="5"/>
      <c r="L3902" s="5"/>
      <c r="M3902" s="5"/>
      <c r="N3902" s="5"/>
      <c r="O3902" s="5"/>
      <c r="P3902" s="5"/>
      <c r="Q3902" s="5"/>
      <c r="R3902" s="5"/>
      <c r="S3902" s="5"/>
      <c r="T3902" s="5"/>
      <c r="U3902" s="5"/>
      <c r="V3902" s="5"/>
      <c r="W3902" s="5"/>
      <c r="X3902" s="5"/>
      <c r="Y3902" s="5"/>
      <c r="Z3902" s="5"/>
    </row>
    <row r="3903" spans="1:26" ht="15.6" x14ac:dyDescent="0.3">
      <c r="A3903" s="18" t="s">
        <v>3</v>
      </c>
      <c r="B3903" s="25" t="s">
        <v>3886</v>
      </c>
      <c r="C3903" s="2" t="str">
        <f ca="1">IFERROR(__xludf.DUMMYFUNCTION("GOOGLETRANSLATE(B3903, ""bn"", ""en"")"),"If you bury or burn the body without determining the religion, the religion itself will become impure! If this explanation is given by someone other than religious scholars, it will not be correct")</f>
        <v>If you bury or burn the body without determining the religion, the religion itself will become impure! If this explanation is given by someone other than religious scholars, it will not be correct</v>
      </c>
      <c r="D3903" s="2"/>
      <c r="E3903" s="2"/>
      <c r="F3903" s="2"/>
      <c r="G3903" s="2"/>
      <c r="H3903" s="3"/>
      <c r="I3903" s="3"/>
      <c r="J3903" s="3"/>
      <c r="K3903" s="3"/>
      <c r="L3903" s="3"/>
      <c r="M3903" s="3"/>
      <c r="N3903" s="3"/>
      <c r="O3903" s="3"/>
      <c r="P3903" s="3"/>
      <c r="Q3903" s="3"/>
      <c r="R3903" s="3"/>
      <c r="S3903" s="3"/>
      <c r="T3903" s="3"/>
      <c r="U3903" s="3"/>
      <c r="V3903" s="3"/>
      <c r="W3903" s="3"/>
      <c r="X3903" s="3"/>
      <c r="Y3903" s="3"/>
      <c r="Z3903" s="3"/>
    </row>
    <row r="3904" spans="1:26" ht="15.6" x14ac:dyDescent="0.3">
      <c r="A3904" s="18" t="s">
        <v>3</v>
      </c>
      <c r="B3904" s="25" t="s">
        <v>3887</v>
      </c>
      <c r="C3904" s="2" t="str">
        <f ca="1">IFERROR(__xludf.DUMMYFUNCTION("GOOGLETRANSLATE(B3904, ""bn"", ""en"")"),"And no matter how much people sin, no matter how much disobedience, I never despair of Allah's mercy.")</f>
        <v>And no matter how much people sin, no matter how much disobedience, I never despair of Allah's mercy.</v>
      </c>
      <c r="D3904" s="5"/>
      <c r="E3904" s="5"/>
      <c r="F3904" s="5"/>
      <c r="G3904" s="5"/>
      <c r="H3904" s="5"/>
      <c r="I3904" s="5"/>
      <c r="J3904" s="5"/>
      <c r="K3904" s="5"/>
      <c r="L3904" s="5"/>
      <c r="M3904" s="5"/>
      <c r="N3904" s="5"/>
      <c r="O3904" s="5"/>
      <c r="P3904" s="5"/>
      <c r="Q3904" s="5"/>
      <c r="R3904" s="5"/>
      <c r="S3904" s="5"/>
      <c r="T3904" s="5"/>
      <c r="U3904" s="5"/>
      <c r="V3904" s="5"/>
      <c r="W3904" s="5"/>
      <c r="X3904" s="5"/>
      <c r="Y3904" s="5"/>
      <c r="Z3904" s="5"/>
    </row>
    <row r="3905" spans="1:26" ht="15.6" x14ac:dyDescent="0.3">
      <c r="A3905" s="18" t="s">
        <v>23</v>
      </c>
      <c r="B3905" s="25" t="s">
        <v>3888</v>
      </c>
      <c r="C3905" s="2" t="str">
        <f ca="1">IFERROR(__xludf.DUMMYFUNCTION("GOOGLETRANSLATE(B3905, ""bn"", ""en"")"),"We should all boycott 71 TV. Lately they have risen up against the Muslims.")</f>
        <v>We should all boycott 71 TV. Lately they have risen up against the Muslims.</v>
      </c>
      <c r="D3905" s="6"/>
      <c r="E3905" s="6"/>
      <c r="F3905" s="6"/>
      <c r="G3905" s="6"/>
      <c r="H3905" s="3"/>
      <c r="I3905" s="3"/>
      <c r="J3905" s="3"/>
      <c r="K3905" s="3"/>
      <c r="L3905" s="3"/>
      <c r="M3905" s="3"/>
      <c r="N3905" s="3"/>
      <c r="O3905" s="3"/>
      <c r="P3905" s="3"/>
      <c r="Q3905" s="3"/>
      <c r="R3905" s="3"/>
      <c r="S3905" s="3"/>
      <c r="T3905" s="3"/>
      <c r="U3905" s="3"/>
      <c r="V3905" s="3"/>
      <c r="W3905" s="3"/>
      <c r="X3905" s="3"/>
      <c r="Y3905" s="3"/>
      <c r="Z3905" s="3"/>
    </row>
    <row r="3906" spans="1:26" ht="15.6" x14ac:dyDescent="0.3">
      <c r="A3906" s="18" t="s">
        <v>5</v>
      </c>
      <c r="B3906" s="24" t="s">
        <v>3889</v>
      </c>
      <c r="C3906" s="2" t="str">
        <f ca="1">IFERROR(__xludf.DUMMYFUNCTION("GOOGLETRANSLATE(B3906, ""bn"", ""en"")"),"Religious groups expel minorities from educational institutions in Sunamganj; 23 people committed suicide.")</f>
        <v>Religious groups expel minorities from educational institutions in Sunamganj; 23 people committed suicide.</v>
      </c>
      <c r="D3906" s="5"/>
      <c r="E3906" s="5"/>
      <c r="F3906" s="5"/>
      <c r="G3906" s="5"/>
      <c r="H3906" s="5"/>
      <c r="I3906" s="5"/>
      <c r="J3906" s="5"/>
      <c r="K3906" s="5"/>
      <c r="L3906" s="5"/>
      <c r="M3906" s="5"/>
      <c r="N3906" s="5"/>
      <c r="O3906" s="5"/>
      <c r="P3906" s="5"/>
      <c r="Q3906" s="5"/>
      <c r="R3906" s="5"/>
      <c r="S3906" s="5"/>
      <c r="T3906" s="5"/>
      <c r="U3906" s="5"/>
      <c r="V3906" s="5"/>
      <c r="W3906" s="5"/>
      <c r="X3906" s="5"/>
      <c r="Y3906" s="5"/>
      <c r="Z3906" s="5"/>
    </row>
    <row r="3907" spans="1:26" ht="15.6" x14ac:dyDescent="0.3">
      <c r="A3907" s="18" t="s">
        <v>5</v>
      </c>
      <c r="B3907" s="24" t="s">
        <v>3890</v>
      </c>
      <c r="C3907" s="2" t="str">
        <f ca="1">IFERROR(__xludf.DUMMYFUNCTION("GOOGLETRANSLATE(B3907, ""bn"", ""en"")"),"In February 2020, hate speech in a speech by a religious speaker led to communal clashes, which killed at least 33 people and caused extensive property damage.")</f>
        <v>In February 2020, hate speech in a speech by a religious speaker led to communal clashes, which killed at least 33 people and caused extensive property damage.</v>
      </c>
      <c r="D3907" s="5"/>
      <c r="E3907" s="5"/>
      <c r="F3907" s="5"/>
      <c r="G3907" s="5"/>
      <c r="H3907" s="5"/>
      <c r="I3907" s="5"/>
      <c r="J3907" s="5"/>
      <c r="K3907" s="5"/>
      <c r="L3907" s="5"/>
      <c r="M3907" s="5"/>
      <c r="N3907" s="5"/>
      <c r="O3907" s="5"/>
      <c r="P3907" s="5"/>
      <c r="Q3907" s="5"/>
      <c r="R3907" s="5"/>
      <c r="S3907" s="5"/>
      <c r="T3907" s="5"/>
      <c r="U3907" s="5"/>
      <c r="V3907" s="5"/>
      <c r="W3907" s="5"/>
      <c r="X3907" s="5"/>
      <c r="Y3907" s="5"/>
      <c r="Z3907" s="5"/>
    </row>
    <row r="3908" spans="1:26" ht="15.6" x14ac:dyDescent="0.3">
      <c r="A3908" s="18" t="s">
        <v>8</v>
      </c>
      <c r="B3908" s="24" t="s">
        <v>3891</v>
      </c>
      <c r="C3908" s="2" t="str">
        <f ca="1">IFERROR(__xludf.DUMMYFUNCTION("GOOGLETRANSLATE(B3908, ""bn"", ""en"")"),"The miscreants stole the copper Buddha image kept in a Buddhist monastery in Rangamati and then smashed it and left it in the nearby forest.")</f>
        <v>The miscreants stole the copper Buddha image kept in a Buddhist monastery in Rangamati and then smashed it and left it in the nearby forest.</v>
      </c>
      <c r="D3908" s="5"/>
      <c r="E3908" s="5"/>
      <c r="F3908" s="5"/>
      <c r="G3908" s="5"/>
      <c r="H3908" s="5"/>
      <c r="I3908" s="5"/>
      <c r="J3908" s="5"/>
      <c r="K3908" s="5"/>
      <c r="L3908" s="5"/>
      <c r="M3908" s="5"/>
      <c r="N3908" s="5"/>
      <c r="O3908" s="5"/>
      <c r="P3908" s="5"/>
      <c r="Q3908" s="5"/>
      <c r="R3908" s="5"/>
      <c r="S3908" s="5"/>
      <c r="T3908" s="5"/>
      <c r="U3908" s="5"/>
      <c r="V3908" s="5"/>
      <c r="W3908" s="5"/>
      <c r="X3908" s="5"/>
      <c r="Y3908" s="5"/>
      <c r="Z3908" s="5"/>
    </row>
    <row r="3909" spans="1:26" ht="15.6" x14ac:dyDescent="0.3">
      <c r="A3909" s="18" t="s">
        <v>3</v>
      </c>
      <c r="B3909" s="25" t="s">
        <v>3892</v>
      </c>
      <c r="C3909" s="2" t="str">
        <f ca="1">IFERROR(__xludf.DUMMYFUNCTION("GOOGLETRANSLATE(B3909, ""bn"", ""en"")"),"In the Quran, Allah asks people to be responsible for their own souls and families, so that peace and equality can be maintained in the society.")</f>
        <v>In the Quran, Allah asks people to be responsible for their own souls and families, so that peace and equality can be maintained in the society.</v>
      </c>
      <c r="D3909" s="7"/>
      <c r="E3909" s="7"/>
      <c r="F3909" s="5"/>
      <c r="G3909" s="5"/>
      <c r="H3909" s="5"/>
      <c r="I3909" s="5"/>
      <c r="J3909" s="5"/>
      <c r="K3909" s="5"/>
      <c r="L3909" s="5"/>
      <c r="M3909" s="5"/>
      <c r="N3909" s="5"/>
      <c r="O3909" s="5"/>
      <c r="P3909" s="5"/>
      <c r="Q3909" s="5"/>
      <c r="R3909" s="5"/>
      <c r="S3909" s="5"/>
      <c r="T3909" s="5"/>
      <c r="U3909" s="5"/>
      <c r="V3909" s="5"/>
      <c r="W3909" s="5"/>
      <c r="X3909" s="5"/>
      <c r="Y3909" s="5"/>
      <c r="Z3909" s="5"/>
    </row>
    <row r="3910" spans="1:26" ht="15.6" x14ac:dyDescent="0.3">
      <c r="A3910" s="18" t="s">
        <v>8</v>
      </c>
      <c r="B3910" s="25" t="s">
        <v>3893</v>
      </c>
      <c r="C3910" s="2" t="str">
        <f ca="1">IFERROR(__xludf.DUMMYFUNCTION("GOOGLETRANSLATE(B3910, ""bn"", ""en"")"),"A white extremist gunman in a Christchurch mosque attacked two mosques in what became a worldwide example of Islamophobia.")</f>
        <v>A white extremist gunman in a Christchurch mosque attacked two mosques in what became a worldwide example of Islamophobia.</v>
      </c>
      <c r="D3910" s="5"/>
      <c r="E3910" s="5"/>
      <c r="F3910" s="5"/>
      <c r="G3910" s="5"/>
      <c r="H3910" s="5"/>
      <c r="I3910" s="5"/>
      <c r="J3910" s="5"/>
      <c r="K3910" s="5"/>
      <c r="L3910" s="5"/>
      <c r="M3910" s="5"/>
      <c r="N3910" s="5"/>
      <c r="O3910" s="5"/>
      <c r="P3910" s="5"/>
      <c r="Q3910" s="5"/>
      <c r="R3910" s="5"/>
      <c r="S3910" s="5"/>
      <c r="T3910" s="5"/>
      <c r="U3910" s="5"/>
      <c r="V3910" s="5"/>
      <c r="W3910" s="5"/>
      <c r="X3910" s="5"/>
      <c r="Y3910" s="5"/>
      <c r="Z3910" s="5"/>
    </row>
    <row r="3911" spans="1:26" ht="15.6" x14ac:dyDescent="0.3">
      <c r="A3911" s="18" t="s">
        <v>3</v>
      </c>
      <c r="B3911" s="25" t="s">
        <v>3894</v>
      </c>
      <c r="C3911" s="2" t="str">
        <f ca="1">IFERROR(__xludf.DUMMYFUNCTION("GOOGLETRANSLATE(B3911, ""bn"", ""en"")"),"I have seen this video on Facebook. In fact, it has been discussed in such detail and in such a subtle way, that any person of other religions will have to believe that the Qur'an is sent by Allah!")</f>
        <v>I have seen this video on Facebook. In fact, it has been discussed in such detail and in such a subtle way, that any person of other religions will have to believe that the Qur'an is sent by Allah!</v>
      </c>
      <c r="D3911" s="5"/>
      <c r="E3911" s="5"/>
      <c r="F3911" s="5"/>
      <c r="G3911" s="5"/>
      <c r="H3911" s="5"/>
      <c r="I3911" s="5"/>
      <c r="J3911" s="5"/>
      <c r="K3911" s="5"/>
      <c r="L3911" s="5"/>
      <c r="M3911" s="5"/>
      <c r="N3911" s="5"/>
      <c r="O3911" s="5"/>
      <c r="P3911" s="5"/>
      <c r="Q3911" s="5"/>
      <c r="R3911" s="5"/>
      <c r="S3911" s="5"/>
      <c r="T3911" s="5"/>
      <c r="U3911" s="5"/>
      <c r="V3911" s="5"/>
      <c r="W3911" s="5"/>
      <c r="X3911" s="5"/>
      <c r="Y3911" s="5"/>
      <c r="Z3911" s="5"/>
    </row>
    <row r="3912" spans="1:26" ht="15.6" x14ac:dyDescent="0.3">
      <c r="A3912" s="18" t="s">
        <v>5</v>
      </c>
      <c r="B3912" s="24" t="s">
        <v>3895</v>
      </c>
      <c r="C3912" s="2" t="str">
        <f ca="1">IFERROR(__xludf.DUMMYFUNCTION("GOOGLETRANSLATE(B3912, ""bn"", ""en"")"),"Riots between Hindu and Muslim communities in Natore left at least 30 people dead and widespread vandalism. Many families were forced to flee the area.")</f>
        <v>Riots between Hindu and Muslim communities in Natore left at least 30 people dead and widespread vandalism. Many families were forced to flee the area.</v>
      </c>
      <c r="D3912" s="5"/>
      <c r="E3912" s="5"/>
      <c r="F3912" s="5"/>
      <c r="G3912" s="5"/>
      <c r="H3912" s="5"/>
      <c r="I3912" s="5"/>
      <c r="J3912" s="5"/>
      <c r="K3912" s="5"/>
      <c r="L3912" s="5"/>
      <c r="M3912" s="5"/>
      <c r="N3912" s="5"/>
      <c r="O3912" s="5"/>
      <c r="P3912" s="5"/>
      <c r="Q3912" s="5"/>
      <c r="R3912" s="5"/>
      <c r="S3912" s="5"/>
      <c r="T3912" s="5"/>
      <c r="U3912" s="5"/>
      <c r="V3912" s="5"/>
      <c r="W3912" s="5"/>
      <c r="X3912" s="5"/>
      <c r="Y3912" s="5"/>
      <c r="Z3912" s="5"/>
    </row>
    <row r="3913" spans="1:26" ht="15.6" x14ac:dyDescent="0.3">
      <c r="A3913" s="18" t="s">
        <v>23</v>
      </c>
      <c r="B3913" s="25" t="s">
        <v>3896</v>
      </c>
      <c r="C3913" s="2" t="str">
        <f ca="1">IFERROR(__xludf.DUMMYFUNCTION("GOOGLETRANSLATE(B3913, ""bn"", ""en"")"),"I am so angry with Muslims. It's really sad to see such a mother's condition. If I had been there, I would have done something alone.")</f>
        <v>I am so angry with Muslims. It's really sad to see such a mother's condition. If I had been there, I would have done something alone.</v>
      </c>
      <c r="D3913" s="6"/>
      <c r="E3913" s="6"/>
      <c r="F3913" s="6"/>
      <c r="G3913" s="2"/>
      <c r="H3913" s="3"/>
      <c r="I3913" s="3"/>
      <c r="J3913" s="3"/>
      <c r="K3913" s="3"/>
      <c r="L3913" s="3"/>
      <c r="M3913" s="3"/>
      <c r="N3913" s="3"/>
      <c r="O3913" s="3"/>
      <c r="P3913" s="3"/>
      <c r="Q3913" s="3"/>
      <c r="R3913" s="3"/>
      <c r="S3913" s="3"/>
      <c r="T3913" s="3"/>
      <c r="U3913" s="3"/>
      <c r="V3913" s="3"/>
      <c r="W3913" s="3"/>
      <c r="X3913" s="3"/>
      <c r="Y3913" s="3"/>
      <c r="Z3913" s="3"/>
    </row>
    <row r="3914" spans="1:26" ht="15.6" x14ac:dyDescent="0.3">
      <c r="A3914" s="18" t="s">
        <v>5</v>
      </c>
      <c r="B3914" s="32" t="s">
        <v>3897</v>
      </c>
      <c r="C3914" s="2" t="str">
        <f ca="1">IFERROR(__xludf.DUMMYFUNCTION("GOOGLETRANSLATE(B3914, ""bn"", ""en"")"),"The Ansars attacked the pilgrims when they reached Chatgaon before going to Sitakund. By the evening of 14th February, all the pilgrims in Chatgaon were killed.")</f>
        <v>The Ansars attacked the pilgrims when they reached Chatgaon before going to Sitakund. By the evening of 14th February, all the pilgrims in Chatgaon were killed.</v>
      </c>
      <c r="D3914" s="5"/>
      <c r="E3914" s="5"/>
      <c r="F3914" s="5"/>
      <c r="G3914" s="13"/>
      <c r="H3914" s="5"/>
      <c r="I3914" s="5"/>
      <c r="J3914" s="5"/>
      <c r="K3914" s="5"/>
      <c r="L3914" s="5"/>
      <c r="M3914" s="5"/>
      <c r="N3914" s="5"/>
      <c r="O3914" s="5"/>
      <c r="P3914" s="5"/>
      <c r="Q3914" s="5"/>
      <c r="R3914" s="5"/>
      <c r="S3914" s="5"/>
      <c r="T3914" s="5"/>
      <c r="U3914" s="5"/>
      <c r="V3914" s="5"/>
      <c r="W3914" s="5"/>
      <c r="X3914" s="5"/>
      <c r="Y3914" s="5"/>
      <c r="Z3914" s="5"/>
    </row>
    <row r="3915" spans="1:26" ht="15.6" x14ac:dyDescent="0.3">
      <c r="A3915" s="18" t="s">
        <v>23</v>
      </c>
      <c r="B3915" s="24" t="s">
        <v>3898</v>
      </c>
      <c r="C3915" s="2" t="str">
        <f ca="1">IFERROR(__xludf.DUMMYFUNCTION("GOOGLETRANSLATE(B3915, ""bn"", ""en"")"),"In Bangladesh, the media is sometimes barred from reporting the truth on religious issues, and photography is also banned.")</f>
        <v>In Bangladesh, the media is sometimes barred from reporting the truth on religious issues, and photography is also banned.</v>
      </c>
      <c r="D3915" s="14"/>
      <c r="E3915" s="14"/>
      <c r="F3915" s="14"/>
      <c r="G3915" s="14"/>
      <c r="H3915" s="14"/>
      <c r="I3915" s="14"/>
      <c r="J3915" s="14"/>
      <c r="K3915" s="14"/>
      <c r="L3915" s="5"/>
      <c r="M3915" s="5"/>
      <c r="N3915" s="5"/>
      <c r="O3915" s="5"/>
      <c r="P3915" s="5"/>
      <c r="Q3915" s="5"/>
      <c r="R3915" s="5"/>
      <c r="S3915" s="5"/>
      <c r="T3915" s="5"/>
      <c r="U3915" s="5"/>
      <c r="V3915" s="5"/>
      <c r="W3915" s="5"/>
      <c r="X3915" s="5"/>
      <c r="Y3915" s="5"/>
      <c r="Z3915" s="5"/>
    </row>
    <row r="3916" spans="1:26" ht="15.6" x14ac:dyDescent="0.3">
      <c r="A3916" s="18" t="s">
        <v>8</v>
      </c>
      <c r="B3916" s="24" t="s">
        <v>3899</v>
      </c>
      <c r="C3916" s="2" t="str">
        <f ca="1">IFERROR(__xludf.DUMMYFUNCTION("GOOGLETRANSLATE(B3916, ""bn"", ""en"")"),"Once under the pressure of Brahmins, many Buddhists and low caste Hindus were forced to accept Islam because they could not bear the religious persecution, later they converted and breathed a sigh of relief.")</f>
        <v>Once under the pressure of Brahmins, many Buddhists and low caste Hindus were forced to accept Islam because they could not bear the religious persecution, later they converted and breathed a sigh of relief.</v>
      </c>
      <c r="D3916" s="14"/>
      <c r="E3916" s="14"/>
      <c r="F3916" s="14"/>
      <c r="G3916" s="14"/>
      <c r="H3916" s="14"/>
      <c r="I3916" s="14"/>
      <c r="J3916" s="14"/>
      <c r="K3916" s="14"/>
      <c r="L3916" s="5"/>
      <c r="M3916" s="5"/>
      <c r="N3916" s="5"/>
      <c r="O3916" s="5"/>
      <c r="P3916" s="5"/>
      <c r="Q3916" s="5"/>
      <c r="R3916" s="5"/>
      <c r="S3916" s="5"/>
      <c r="T3916" s="5"/>
      <c r="U3916" s="5"/>
      <c r="V3916" s="5"/>
      <c r="W3916" s="5"/>
      <c r="X3916" s="5"/>
      <c r="Y3916" s="5"/>
      <c r="Z3916" s="5"/>
    </row>
    <row r="3917" spans="1:26" ht="15.6" x14ac:dyDescent="0.3">
      <c r="A3917" s="18" t="s">
        <v>8</v>
      </c>
      <c r="B3917" s="24" t="s">
        <v>3900</v>
      </c>
      <c r="C3917" s="2" t="str">
        <f ca="1">IFERROR(__xludf.DUMMYFUNCTION("GOOGLETRANSLATE(B3917, ""bn"", ""en"")"),"The riots paved the way for the partition of Bengal into Hindu and Muslim-dominated areas.")</f>
        <v>The riots paved the way for the partition of Bengal into Hindu and Muslim-dominated areas.</v>
      </c>
      <c r="D3917" s="14"/>
      <c r="E3917" s="14"/>
      <c r="F3917" s="14"/>
      <c r="G3917" s="14"/>
      <c r="H3917" s="14"/>
      <c r="I3917" s="14"/>
      <c r="J3917" s="14"/>
      <c r="K3917" s="14"/>
      <c r="L3917" s="5"/>
      <c r="M3917" s="5"/>
      <c r="N3917" s="5"/>
      <c r="O3917" s="5"/>
      <c r="P3917" s="5"/>
      <c r="Q3917" s="5"/>
      <c r="R3917" s="5"/>
      <c r="S3917" s="5"/>
      <c r="T3917" s="5"/>
      <c r="U3917" s="5"/>
      <c r="V3917" s="5"/>
      <c r="W3917" s="5"/>
      <c r="X3917" s="5"/>
      <c r="Y3917" s="5"/>
      <c r="Z3917" s="5"/>
    </row>
    <row r="3918" spans="1:26" ht="15.6" x14ac:dyDescent="0.3">
      <c r="A3918" s="18" t="s">
        <v>8</v>
      </c>
      <c r="B3918" s="24" t="s">
        <v>3901</v>
      </c>
      <c r="C3918" s="2" t="str">
        <f ca="1">IFERROR(__xludf.DUMMYFUNCTION("GOOGLETRANSLATE(B3918, ""bn"", ""en"")"),"In 2022, they attacked Qawali evening. This time, the dean of the Faculty of Arts mourned the chairman of the Arabic department for reciting the Quran in Battala!")</f>
        <v>In 2022, they attacked Qawali evening. This time, the dean of the Faculty of Arts mourned the chairman of the Arabic department for reciting the Quran in Battala!</v>
      </c>
      <c r="D3918" s="14"/>
      <c r="E3918" s="14"/>
      <c r="F3918" s="14"/>
      <c r="G3918" s="14"/>
      <c r="H3918" s="14"/>
      <c r="I3918" s="14"/>
      <c r="J3918" s="14"/>
      <c r="K3918" s="14"/>
      <c r="L3918" s="5"/>
      <c r="M3918" s="5"/>
      <c r="N3918" s="5"/>
      <c r="O3918" s="5"/>
      <c r="P3918" s="5"/>
      <c r="Q3918" s="5"/>
      <c r="R3918" s="5"/>
      <c r="S3918" s="5"/>
      <c r="T3918" s="5"/>
      <c r="U3918" s="5"/>
      <c r="V3918" s="5"/>
      <c r="W3918" s="5"/>
      <c r="X3918" s="5"/>
      <c r="Y3918" s="5"/>
      <c r="Z3918" s="5"/>
    </row>
    <row r="3919" spans="1:26" ht="15.6" x14ac:dyDescent="0.3">
      <c r="A3919" s="18" t="s">
        <v>3</v>
      </c>
      <c r="B3919" s="24" t="s">
        <v>3902</v>
      </c>
      <c r="C3919" s="2" t="str">
        <f ca="1">IFERROR(__xludf.DUMMYFUNCTION("GOOGLETRANSLATE(B3919, ""bn"", ""en"")"),"I have seen you many times with my father in Hashar field. I have no sin, there is no god but Allah, there is no god but Allah, Allah La Ilaha Illallahu Muhammadur Rasulullah. Heaven is created, earth is created by one God, there is no one but God. La ila"&amp;"ha illallahu mohammadur rasulullah.")</f>
        <v>I have seen you many times with my father in Hashar field. I have no sin, there is no god but Allah, there is no god but Allah, Allah La Ilaha Illallahu Muhammadur Rasulullah. Heaven is created, earth is created by one God, there is no one but God. La ilaha illallahu mohammadur rasulullah.</v>
      </c>
      <c r="D3919" s="2"/>
      <c r="E3919" s="2"/>
      <c r="F3919" s="2"/>
      <c r="G3919" s="2"/>
      <c r="H3919" s="2"/>
      <c r="I3919" s="2"/>
      <c r="J3919" s="2"/>
      <c r="K3919" s="2"/>
      <c r="L3919" s="5"/>
      <c r="M3919" s="5"/>
      <c r="N3919" s="5"/>
      <c r="O3919" s="5"/>
      <c r="P3919" s="5"/>
      <c r="Q3919" s="5"/>
      <c r="R3919" s="5"/>
      <c r="S3919" s="5"/>
      <c r="T3919" s="5"/>
      <c r="U3919" s="5"/>
      <c r="V3919" s="5"/>
      <c r="W3919" s="5"/>
      <c r="X3919" s="5"/>
      <c r="Y3919" s="5"/>
      <c r="Z3919" s="5"/>
    </row>
    <row r="3920" spans="1:26" ht="15.6" x14ac:dyDescent="0.3">
      <c r="A3920" s="18" t="s">
        <v>8</v>
      </c>
      <c r="B3920" s="24" t="s">
        <v>3903</v>
      </c>
      <c r="C3920" s="2" t="str">
        <f ca="1">IFERROR(__xludf.DUMMYFUNCTION("GOOGLETRANSLATE(B3920, ""bn"", ""en"")"),"He said, people of Hindu community have been living in that village for many generations. This is the first time they have faced a major attack.")</f>
        <v>He said, people of Hindu community have been living in that village for many generations. This is the first time they have faced a major attack.</v>
      </c>
      <c r="D3920" s="14"/>
      <c r="E3920" s="14"/>
      <c r="F3920" s="14"/>
      <c r="G3920" s="14"/>
      <c r="H3920" s="14"/>
      <c r="I3920" s="14"/>
      <c r="J3920" s="14"/>
      <c r="K3920" s="14"/>
      <c r="L3920" s="5"/>
      <c r="M3920" s="5"/>
      <c r="N3920" s="5"/>
      <c r="O3920" s="5"/>
      <c r="P3920" s="5"/>
      <c r="Q3920" s="5"/>
      <c r="R3920" s="5"/>
      <c r="S3920" s="5"/>
      <c r="T3920" s="5"/>
      <c r="U3920" s="5"/>
      <c r="V3920" s="5"/>
      <c r="W3920" s="5"/>
      <c r="X3920" s="5"/>
      <c r="Y3920" s="5"/>
      <c r="Z3920" s="5"/>
    </row>
    <row r="3921" spans="1:26" ht="15.6" x14ac:dyDescent="0.3">
      <c r="A3921" s="18" t="s">
        <v>3</v>
      </c>
      <c r="B3921" s="24" t="s">
        <v>3904</v>
      </c>
      <c r="C3921" s="2" t="str">
        <f ca="1">IFERROR(__xludf.DUMMYFUNCTION("GOOGLETRANSLATE(B3921, ""bn"", ""en"")"),"Attacks on temples or vandalism of idols by spreading rumors on misinterpretation of religion tarnish our society. Religion teaches humanity, but some make it a weapon of hatred and violence.")</f>
        <v>Attacks on temples or vandalism of idols by spreading rumors on misinterpretation of religion tarnish our society. Religion teaches humanity, but some make it a weapon of hatred and violence.</v>
      </c>
      <c r="D3921" s="14"/>
      <c r="E3921" s="14"/>
      <c r="F3921" s="14"/>
      <c r="G3921" s="14"/>
      <c r="H3921" s="14"/>
      <c r="I3921" s="14"/>
      <c r="J3921" s="14"/>
      <c r="K3921" s="14"/>
      <c r="L3921" s="5"/>
      <c r="M3921" s="5"/>
      <c r="N3921" s="5"/>
      <c r="O3921" s="5"/>
      <c r="P3921" s="5"/>
      <c r="Q3921" s="5"/>
      <c r="R3921" s="5"/>
      <c r="S3921" s="5"/>
      <c r="T3921" s="5"/>
      <c r="U3921" s="5"/>
      <c r="V3921" s="5"/>
      <c r="W3921" s="5"/>
      <c r="X3921" s="5"/>
      <c r="Y3921" s="5"/>
      <c r="Z3921" s="5"/>
    </row>
    <row r="3922" spans="1:26" ht="15.6" x14ac:dyDescent="0.3">
      <c r="A3922" s="18" t="s">
        <v>5</v>
      </c>
      <c r="B3922" s="24" t="s">
        <v>3905</v>
      </c>
      <c r="C3922" s="2" t="str">
        <f ca="1">IFERROR(__xludf.DUMMYFUNCTION("GOOGLETRANSLATE(B3922, ""bn"", ""en"")"),"A destructive communal riot broke out in late 1946 AD. A large-scale massacre between 30 October and 7 November made partition inevitable.")</f>
        <v>A destructive communal riot broke out in late 1946 AD. A large-scale massacre between 30 October and 7 November made partition inevitable.</v>
      </c>
      <c r="D3922" s="14"/>
      <c r="E3922" s="14"/>
      <c r="F3922" s="14"/>
      <c r="G3922" s="14"/>
      <c r="H3922" s="14"/>
      <c r="I3922" s="14"/>
      <c r="J3922" s="14"/>
      <c r="K3922" s="14"/>
      <c r="L3922" s="5"/>
      <c r="M3922" s="5"/>
      <c r="N3922" s="5"/>
      <c r="O3922" s="5"/>
      <c r="P3922" s="5"/>
      <c r="Q3922" s="5"/>
      <c r="R3922" s="5"/>
      <c r="S3922" s="5"/>
      <c r="T3922" s="5"/>
      <c r="U3922" s="5"/>
      <c r="V3922" s="5"/>
      <c r="W3922" s="5"/>
      <c r="X3922" s="5"/>
      <c r="Y3922" s="5"/>
      <c r="Z3922" s="5"/>
    </row>
    <row r="3923" spans="1:26" ht="15.6" x14ac:dyDescent="0.3">
      <c r="A3923" s="18" t="s">
        <v>3</v>
      </c>
      <c r="B3923" s="24" t="s">
        <v>3906</v>
      </c>
      <c r="C3923" s="2" t="str">
        <f ca="1">IFERROR(__xludf.DUMMYFUNCTION("GOOGLETRANSLATE(B3923, ""bn"", ""en"")"),"The land of Dhaka University was donated by a Muslim and he played a leading role in its establishment.")</f>
        <v>The land of Dhaka University was donated by a Muslim and he played a leading role in its establishment.</v>
      </c>
      <c r="D3923" s="2"/>
      <c r="E3923" s="2"/>
      <c r="F3923" s="2"/>
      <c r="G3923" s="14"/>
      <c r="H3923" s="14"/>
      <c r="I3923" s="14"/>
      <c r="J3923" s="14"/>
      <c r="K3923" s="14"/>
      <c r="L3923" s="5"/>
      <c r="M3923" s="5"/>
      <c r="N3923" s="5"/>
      <c r="O3923" s="5"/>
      <c r="P3923" s="5"/>
      <c r="Q3923" s="5"/>
      <c r="R3923" s="5"/>
      <c r="S3923" s="5"/>
      <c r="T3923" s="5"/>
      <c r="U3923" s="5"/>
      <c r="V3923" s="5"/>
      <c r="W3923" s="5"/>
      <c r="X3923" s="5"/>
      <c r="Y3923" s="5"/>
      <c r="Z3923" s="5"/>
    </row>
    <row r="3924" spans="1:26" ht="15.6" x14ac:dyDescent="0.3">
      <c r="A3924" s="18" t="s">
        <v>8</v>
      </c>
      <c r="B3924" s="24" t="s">
        <v>3907</v>
      </c>
      <c r="C3924" s="2" t="str">
        <f ca="1">IFERROR(__xludf.DUMMYFUNCTION("GOOGLETRANSLATE(B3924, ""bn"", ""en"")"),"On the contrary, they gather wealth and knowledge to increase Muslim followers to destroy Hindu religion and Hindu nation. Finally, this is the transformation of their family.")</f>
        <v>On the contrary, they gather wealth and knowledge to increase Muslim followers to destroy Hindu religion and Hindu nation. Finally, this is the transformation of their family.</v>
      </c>
      <c r="D3924" s="14"/>
      <c r="E3924" s="14"/>
      <c r="F3924" s="14"/>
      <c r="G3924" s="14"/>
      <c r="H3924" s="14"/>
      <c r="I3924" s="14"/>
      <c r="J3924" s="14"/>
      <c r="K3924" s="14"/>
      <c r="L3924" s="5"/>
      <c r="M3924" s="5"/>
      <c r="N3924" s="5"/>
      <c r="O3924" s="5"/>
      <c r="P3924" s="5"/>
      <c r="Q3924" s="5"/>
      <c r="R3924" s="5"/>
      <c r="S3924" s="5"/>
      <c r="T3924" s="5"/>
      <c r="U3924" s="5"/>
      <c r="V3924" s="5"/>
      <c r="W3924" s="5"/>
      <c r="X3924" s="5"/>
      <c r="Y3924" s="5"/>
      <c r="Z3924" s="5"/>
    </row>
    <row r="3925" spans="1:26" ht="15.6" x14ac:dyDescent="0.3">
      <c r="A3925" s="18" t="s">
        <v>23</v>
      </c>
      <c r="B3925" s="24" t="s">
        <v>3908</v>
      </c>
      <c r="C3925" s="2" t="str">
        <f ca="1">IFERROR(__xludf.DUMMYFUNCTION("GOOGLETRANSLATE(B3925, ""bn"", ""en"")"),"Those Muslims who are belittling their own Islam in the name of non-community, those who are keeping pace with them are right in their religion.")</f>
        <v>Those Muslims who are belittling their own Islam in the name of non-community, those who are keeping pace with them are right in their religion.</v>
      </c>
      <c r="D3925" s="14"/>
      <c r="E3925" s="14"/>
      <c r="F3925" s="14"/>
      <c r="G3925" s="14"/>
      <c r="H3925" s="14"/>
      <c r="I3925" s="14"/>
      <c r="J3925" s="14"/>
      <c r="K3925" s="14"/>
      <c r="L3925" s="5"/>
      <c r="M3925" s="5"/>
      <c r="N3925" s="5"/>
      <c r="O3925" s="5"/>
      <c r="P3925" s="5"/>
      <c r="Q3925" s="5"/>
      <c r="R3925" s="5"/>
      <c r="S3925" s="5"/>
      <c r="T3925" s="5"/>
      <c r="U3925" s="5"/>
      <c r="V3925" s="5"/>
      <c r="W3925" s="5"/>
      <c r="X3925" s="5"/>
      <c r="Y3925" s="5"/>
      <c r="Z3925" s="5"/>
    </row>
    <row r="3926" spans="1:26" ht="15.6" x14ac:dyDescent="0.3">
      <c r="A3926" s="18" t="s">
        <v>23</v>
      </c>
      <c r="B3926" s="24" t="s">
        <v>3909</v>
      </c>
      <c r="C3926" s="2" t="str">
        <f ca="1">IFERROR(__xludf.DUMMYFUNCTION("GOOGLETRANSLATE(B3926, ""bn"", ""en"")"),"Can you ever create a movement in your life?? Hinduism and Hinduism are not the same thing.")</f>
        <v>Can you ever create a movement in your life?? Hinduism and Hinduism are not the same thing.</v>
      </c>
      <c r="D3926" s="14"/>
      <c r="E3926" s="14"/>
      <c r="F3926" s="14"/>
      <c r="G3926" s="14"/>
      <c r="H3926" s="14"/>
      <c r="I3926" s="14"/>
      <c r="J3926" s="14"/>
      <c r="K3926" s="14"/>
      <c r="L3926" s="5"/>
      <c r="M3926" s="5"/>
      <c r="N3926" s="5"/>
      <c r="O3926" s="5"/>
      <c r="P3926" s="5"/>
      <c r="Q3926" s="5"/>
      <c r="R3926" s="5"/>
      <c r="S3926" s="5"/>
      <c r="T3926" s="5"/>
      <c r="U3926" s="5"/>
      <c r="V3926" s="5"/>
      <c r="W3926" s="5"/>
      <c r="X3926" s="5"/>
      <c r="Y3926" s="5"/>
      <c r="Z3926" s="5"/>
    </row>
    <row r="3927" spans="1:26" ht="15.6" x14ac:dyDescent="0.3">
      <c r="A3927" s="18" t="s">
        <v>23</v>
      </c>
      <c r="B3927" s="24" t="s">
        <v>3910</v>
      </c>
      <c r="C3927" s="2" t="str">
        <f ca="1">IFERROR(__xludf.DUMMYFUNCTION("GOOGLETRANSLATE(B3927, ""bn"", ""en"")"),"Romalia's emissary warns the king of persecution in the name of Christianity, which is dangerous to God's order and kingdom. The Inquisition led to the collapse of the Cruzan Empire.")</f>
        <v>Romalia's emissary warns the king of persecution in the name of Christianity, which is dangerous to God's order and kingdom. The Inquisition led to the collapse of the Cruzan Empire.</v>
      </c>
      <c r="D3927" s="14"/>
      <c r="E3927" s="14"/>
      <c r="F3927" s="14"/>
      <c r="G3927" s="14"/>
      <c r="H3927" s="14"/>
      <c r="I3927" s="14"/>
      <c r="J3927" s="14"/>
      <c r="K3927" s="14"/>
      <c r="L3927" s="5"/>
      <c r="M3927" s="5"/>
      <c r="N3927" s="5"/>
      <c r="O3927" s="5"/>
      <c r="P3927" s="5"/>
      <c r="Q3927" s="5"/>
      <c r="R3927" s="5"/>
      <c r="S3927" s="5"/>
      <c r="T3927" s="5"/>
      <c r="U3927" s="5"/>
      <c r="V3927" s="5"/>
      <c r="W3927" s="5"/>
      <c r="X3927" s="5"/>
      <c r="Y3927" s="5"/>
      <c r="Z3927" s="5"/>
    </row>
    <row r="3928" spans="1:26" ht="15.6" x14ac:dyDescent="0.3">
      <c r="A3928" s="18" t="s">
        <v>23</v>
      </c>
      <c r="B3928" s="24" t="s">
        <v>3911</v>
      </c>
      <c r="C3928" s="2" t="str">
        <f ca="1">IFERROR(__xludf.DUMMYFUNCTION("GOOGLETRANSLATE(B3928, ""bn"", ""en"")"),"Nowadays the value of religious materials is more dominant than religion, which is a manifestation of reaction.")</f>
        <v>Nowadays the value of religious materials is more dominant than religion, which is a manifestation of reaction.</v>
      </c>
      <c r="D3928" s="2"/>
      <c r="E3928" s="2"/>
      <c r="F3928" s="14"/>
      <c r="G3928" s="14"/>
      <c r="H3928" s="14"/>
      <c r="I3928" s="14"/>
      <c r="J3928" s="14"/>
      <c r="K3928" s="14"/>
      <c r="L3928" s="5"/>
      <c r="M3928" s="5"/>
      <c r="N3928" s="5"/>
      <c r="O3928" s="5"/>
      <c r="P3928" s="5"/>
      <c r="Q3928" s="5"/>
      <c r="R3928" s="5"/>
      <c r="S3928" s="5"/>
      <c r="T3928" s="5"/>
      <c r="U3928" s="5"/>
      <c r="V3928" s="5"/>
      <c r="W3928" s="5"/>
      <c r="X3928" s="5"/>
      <c r="Y3928" s="5"/>
      <c r="Z3928" s="5"/>
    </row>
    <row r="3929" spans="1:26" ht="15.6" x14ac:dyDescent="0.3">
      <c r="A3929" s="18" t="s">
        <v>5</v>
      </c>
      <c r="B3929" s="24" t="s">
        <v>3912</v>
      </c>
      <c r="C3929" s="2" t="str">
        <f ca="1">IFERROR(__xludf.DUMMYFUNCTION("GOOGLETRANSLATE(B3929, ""bn"", ""en"")"),"Rammohan Roy observed that when women allowed themselves to be thrown on the funeral pyre of their dead husbands it was not only ""out of religious prejudice"", but also ""with the daily humiliation of the widow and the plight of the poor rank"". Also fro"&amp;"m the witnesses involved”.")</f>
        <v>Rammohan Roy observed that when women allowed themselves to be thrown on the funeral pyre of their dead husbands it was not only "out of religious prejudice", but also "with the daily humiliation of the widow and the plight of the poor rank". Also from the witnesses involved”.</v>
      </c>
      <c r="D3929" s="14"/>
      <c r="E3929" s="14"/>
      <c r="F3929" s="14"/>
      <c r="G3929" s="14"/>
      <c r="H3929" s="14"/>
      <c r="I3929" s="14"/>
      <c r="J3929" s="14"/>
      <c r="K3929" s="14"/>
      <c r="L3929" s="5"/>
      <c r="M3929" s="5"/>
      <c r="N3929" s="5"/>
      <c r="O3929" s="5"/>
      <c r="P3929" s="5"/>
      <c r="Q3929" s="5"/>
      <c r="R3929" s="5"/>
      <c r="S3929" s="5"/>
      <c r="T3929" s="5"/>
      <c r="U3929" s="5"/>
      <c r="V3929" s="5"/>
      <c r="W3929" s="5"/>
      <c r="X3929" s="5"/>
      <c r="Y3929" s="5"/>
      <c r="Z3929" s="5"/>
    </row>
    <row r="3930" spans="1:26" ht="15.6" x14ac:dyDescent="0.3">
      <c r="A3930" s="18" t="s">
        <v>5</v>
      </c>
      <c r="B3930" s="24" t="s">
        <v>3913</v>
      </c>
      <c r="C3930" s="2" t="str">
        <f ca="1">IFERROR(__xludf.DUMMYFUNCTION("GOOGLETRANSLATE(B3930, ""bn"", ""en"")"),"A joint statement by 24 organizations representing the Hindu community sent to SBS Bengal said Islamic extremists spread terror among Hindus throughout the festival. These include killing of Hindus, rape of women, burning of Hindu homes and businesses, de"&amp;"secration of idols and desecration of temples.")</f>
        <v>A joint statement by 24 organizations representing the Hindu community sent to SBS Bengal said Islamic extremists spread terror among Hindus throughout the festival. These include killing of Hindus, rape of women, burning of Hindu homes and businesses, desecration of idols and desecration of temples.</v>
      </c>
      <c r="D3930" s="14"/>
      <c r="E3930" s="14"/>
      <c r="F3930" s="14"/>
      <c r="G3930" s="14"/>
      <c r="H3930" s="14"/>
      <c r="I3930" s="14"/>
      <c r="J3930" s="14"/>
      <c r="K3930" s="14"/>
      <c r="L3930" s="5"/>
      <c r="M3930" s="5"/>
      <c r="N3930" s="5"/>
      <c r="O3930" s="5"/>
      <c r="P3930" s="5"/>
      <c r="Q3930" s="5"/>
      <c r="R3930" s="5"/>
      <c r="S3930" s="5"/>
      <c r="T3930" s="5"/>
      <c r="U3930" s="5"/>
      <c r="V3930" s="5"/>
      <c r="W3930" s="5"/>
      <c r="X3930" s="5"/>
      <c r="Y3930" s="5"/>
      <c r="Z3930" s="5"/>
    </row>
    <row r="3931" spans="1:26" ht="15.6" x14ac:dyDescent="0.3">
      <c r="A3931" s="18" t="s">
        <v>8</v>
      </c>
      <c r="B3931" s="24" t="s">
        <v>3914</v>
      </c>
      <c r="C3931" s="2" t="str">
        <f ca="1">IFERROR(__xludf.DUMMYFUNCTION("GOOGLETRANSLATE(B3931, ""bn"", ""en"")"),"Another Saiva Hindu king Mihirkula completely destroyed 1500 Buddhist shrines. The Saiva king Taraman is said to have destroyed the Buddhist monastery at Kausambi called Ghashitram.")</f>
        <v>Another Saiva Hindu king Mihirkula completely destroyed 1500 Buddhist shrines. The Saiva king Taraman is said to have destroyed the Buddhist monastery at Kausambi called Ghashitram.</v>
      </c>
      <c r="D3931" s="14"/>
      <c r="E3931" s="14"/>
      <c r="F3931" s="14"/>
      <c r="G3931" s="14"/>
      <c r="H3931" s="14"/>
      <c r="I3931" s="14"/>
      <c r="J3931" s="14"/>
      <c r="K3931" s="14"/>
      <c r="L3931" s="5"/>
      <c r="M3931" s="5"/>
      <c r="N3931" s="5"/>
      <c r="O3931" s="5"/>
      <c r="P3931" s="5"/>
      <c r="Q3931" s="5"/>
      <c r="R3931" s="5"/>
      <c r="S3931" s="5"/>
      <c r="T3931" s="5"/>
      <c r="U3931" s="5"/>
      <c r="V3931" s="5"/>
      <c r="W3931" s="5"/>
      <c r="X3931" s="5"/>
      <c r="Y3931" s="5"/>
      <c r="Z3931" s="5"/>
    </row>
    <row r="3932" spans="1:26" ht="15.6" x14ac:dyDescent="0.3">
      <c r="A3932" s="18" t="s">
        <v>23</v>
      </c>
      <c r="B3932" s="24" t="s">
        <v>3915</v>
      </c>
      <c r="C3932" s="2" t="str">
        <f ca="1">IFERROR(__xludf.DUMMYFUNCTION("GOOGLETRANSLATE(B3932, ""bn"", ""en"")"),"Rajakars forcibly converted Hindus to Islam and fed them beef, barbaric inhumanity in the name of Islam.")</f>
        <v>Rajakars forcibly converted Hindus to Islam and fed them beef, barbaric inhumanity in the name of Islam.</v>
      </c>
      <c r="D3932" s="14"/>
      <c r="E3932" s="14"/>
      <c r="F3932" s="14"/>
      <c r="G3932" s="14"/>
      <c r="H3932" s="14"/>
      <c r="I3932" s="14"/>
      <c r="J3932" s="14"/>
      <c r="K3932" s="14"/>
      <c r="L3932" s="5"/>
      <c r="M3932" s="5"/>
      <c r="N3932" s="5"/>
      <c r="O3932" s="5"/>
      <c r="P3932" s="5"/>
      <c r="Q3932" s="5"/>
      <c r="R3932" s="5"/>
      <c r="S3932" s="5"/>
      <c r="T3932" s="5"/>
      <c r="U3932" s="5"/>
      <c r="V3932" s="5"/>
      <c r="W3932" s="5"/>
      <c r="X3932" s="5"/>
      <c r="Y3932" s="5"/>
      <c r="Z3932" s="5"/>
    </row>
    <row r="3933" spans="1:26" ht="15.6" x14ac:dyDescent="0.3">
      <c r="A3933" s="18" t="s">
        <v>8</v>
      </c>
      <c r="B3933" s="24" t="s">
        <v>3916</v>
      </c>
      <c r="C3933" s="2" t="str">
        <f ca="1">IFERROR(__xludf.DUMMYFUNCTION("GOOGLETRANSLATE(B3933, ""bn"", ""en"")"),"On August 21, two temples in Shibganj upazila of Bogra district were attacked at night. A Lakshmi temple and a Hari temple at the far end of the village have several idols broken. The police have arrested Rabiul Islam, the accused in the incident.")</f>
        <v>On August 21, two temples in Shibganj upazila of Bogra district were attacked at night. A Lakshmi temple and a Hari temple at the far end of the village have several idols broken. The police have arrested Rabiul Islam, the accused in the incident.</v>
      </c>
      <c r="D3933" s="14"/>
      <c r="E3933" s="14"/>
      <c r="F3933" s="14"/>
      <c r="G3933" s="14"/>
      <c r="H3933" s="14"/>
      <c r="I3933" s="14"/>
      <c r="J3933" s="14"/>
      <c r="K3933" s="14"/>
      <c r="L3933" s="5"/>
      <c r="M3933" s="5"/>
      <c r="N3933" s="5"/>
      <c r="O3933" s="5"/>
      <c r="P3933" s="5"/>
      <c r="Q3933" s="5"/>
      <c r="R3933" s="5"/>
      <c r="S3933" s="5"/>
      <c r="T3933" s="5"/>
      <c r="U3933" s="5"/>
      <c r="V3933" s="5"/>
      <c r="W3933" s="5"/>
      <c r="X3933" s="5"/>
      <c r="Y3933" s="5"/>
      <c r="Z3933" s="5"/>
    </row>
    <row r="3934" spans="1:26" ht="15.6" x14ac:dyDescent="0.3">
      <c r="A3934" s="18" t="s">
        <v>3</v>
      </c>
      <c r="B3934" s="24" t="s">
        <v>3917</v>
      </c>
      <c r="C3934" s="2" t="str">
        <f ca="1">IFERROR(__xludf.DUMMYFUNCTION("GOOGLETRANSLATE(B3934, ""bn"", ""en"")"),"At the age of 35, Muhammad (PBUH) took part in the repair of the Kaaba, which is considered an important and honorable event in the history of Islam.")</f>
        <v>At the age of 35, Muhammad (PBUH) took part in the repair of the Kaaba, which is considered an important and honorable event in the history of Islam.</v>
      </c>
      <c r="D3934" s="14"/>
      <c r="E3934" s="14"/>
      <c r="F3934" s="14"/>
      <c r="G3934" s="14"/>
      <c r="H3934" s="14"/>
      <c r="I3934" s="14"/>
      <c r="J3934" s="14"/>
      <c r="K3934" s="14"/>
      <c r="L3934" s="5"/>
      <c r="M3934" s="5"/>
      <c r="N3934" s="5"/>
      <c r="O3934" s="5"/>
      <c r="P3934" s="5"/>
      <c r="Q3934" s="5"/>
      <c r="R3934" s="5"/>
      <c r="S3934" s="5"/>
      <c r="T3934" s="5"/>
      <c r="U3934" s="5"/>
      <c r="V3934" s="5"/>
      <c r="W3934" s="5"/>
      <c r="X3934" s="5"/>
      <c r="Y3934" s="5"/>
      <c r="Z3934" s="5"/>
    </row>
    <row r="3935" spans="1:26" ht="15.6" x14ac:dyDescent="0.3">
      <c r="A3935" s="18" t="s">
        <v>23</v>
      </c>
      <c r="B3935" s="22" t="s">
        <v>3918</v>
      </c>
      <c r="C3935" s="2" t="str">
        <f ca="1">IFERROR(__xludf.DUMMYFUNCTION("GOOGLETRANSLATE(B3935, ""bn"", ""en"")"),"Islamic leaflets were distributed in front of a church, causing tension.")</f>
        <v>Islamic leaflets were distributed in front of a church, causing tension.</v>
      </c>
      <c r="D3935" s="5"/>
      <c r="E3935" s="5"/>
      <c r="F3935" s="5"/>
      <c r="G3935" s="5"/>
      <c r="H3935" s="5"/>
      <c r="I3935" s="5"/>
      <c r="J3935" s="5"/>
      <c r="K3935" s="5"/>
      <c r="L3935" s="5"/>
      <c r="M3935" s="5"/>
      <c r="N3935" s="5"/>
      <c r="O3935" s="5"/>
      <c r="P3935" s="5"/>
      <c r="Q3935" s="5"/>
      <c r="R3935" s="5"/>
      <c r="S3935" s="5"/>
      <c r="T3935" s="5"/>
      <c r="U3935" s="5"/>
      <c r="V3935" s="5"/>
      <c r="W3935" s="5"/>
      <c r="X3935" s="5"/>
      <c r="Y3935" s="5"/>
      <c r="Z3935" s="5"/>
    </row>
    <row r="3936" spans="1:26" ht="15.6" x14ac:dyDescent="0.3">
      <c r="A3936" s="18" t="s">
        <v>23</v>
      </c>
      <c r="B3936" s="22" t="s">
        <v>3919</v>
      </c>
      <c r="C3936" s="2" t="str">
        <f ca="1">IFERROR(__xludf.DUMMYFUNCTION("GOOGLETRANSLATE(B3936, ""bn"", ""en"")"),"Their church bells disturb the peace in our area, this needs to be stopped.")</f>
        <v>Their church bells disturb the peace in our area, this needs to be stopped.</v>
      </c>
      <c r="D3936" s="5"/>
      <c r="E3936" s="5"/>
      <c r="F3936" s="5"/>
      <c r="G3936" s="5"/>
      <c r="H3936" s="5"/>
      <c r="I3936" s="5"/>
      <c r="J3936" s="5"/>
      <c r="K3936" s="5"/>
      <c r="L3936" s="5"/>
      <c r="M3936" s="5"/>
      <c r="N3936" s="5"/>
      <c r="O3936" s="5"/>
      <c r="P3936" s="5"/>
      <c r="Q3936" s="5"/>
      <c r="R3936" s="5"/>
      <c r="S3936" s="5"/>
      <c r="T3936" s="5"/>
      <c r="U3936" s="5"/>
      <c r="V3936" s="5"/>
      <c r="W3936" s="5"/>
      <c r="X3936" s="5"/>
      <c r="Y3936" s="5"/>
      <c r="Z3936" s="5"/>
    </row>
    <row r="3937" spans="1:26" ht="15.6" x14ac:dyDescent="0.3">
      <c r="A3937" s="18" t="s">
        <v>8</v>
      </c>
      <c r="B3937" s="22" t="s">
        <v>3920</v>
      </c>
      <c r="C3937" s="2" t="str">
        <f ca="1">IFERROR(__xludf.DUMMYFUNCTION("GOOGLETRANSLATE(B3937, ""bn"", ""en"")"),"While the puja was going on in the temple, a group of youths played the azaan loudly, drowning out the sound of the puja.")</f>
        <v>While the puja was going on in the temple, a group of youths played the azaan loudly, drowning out the sound of the puja.</v>
      </c>
      <c r="D3937" s="5"/>
      <c r="E3937" s="5"/>
      <c r="F3937" s="5"/>
      <c r="G3937" s="5"/>
      <c r="H3937" s="5"/>
      <c r="I3937" s="5"/>
      <c r="J3937" s="5"/>
      <c r="K3937" s="5"/>
      <c r="L3937" s="5"/>
      <c r="M3937" s="5"/>
      <c r="N3937" s="5"/>
      <c r="O3937" s="5"/>
      <c r="P3937" s="5"/>
      <c r="Q3937" s="5"/>
      <c r="R3937" s="5"/>
      <c r="S3937" s="5"/>
      <c r="T3937" s="5"/>
      <c r="U3937" s="5"/>
      <c r="V3937" s="5"/>
      <c r="W3937" s="5"/>
      <c r="X3937" s="5"/>
      <c r="Y3937" s="5"/>
      <c r="Z3937" s="5"/>
    </row>
    <row r="3938" spans="1:26" ht="15.6" x14ac:dyDescent="0.3">
      <c r="A3938" s="18" t="s">
        <v>23</v>
      </c>
      <c r="B3938" s="22" t="s">
        <v>3921</v>
      </c>
      <c r="C3938" s="2" t="str">
        <f ca="1">IFERROR(__xludf.DUMMYFUNCTION("GOOGLETRANSLATE(B3938, ""bn"", ""en"")"),"The invitation to Islam should be given to people of all religions, because the paths of other religions are misleading.")</f>
        <v>The invitation to Islam should be given to people of all religions, because the paths of other religions are misleading.</v>
      </c>
      <c r="D3938" s="5"/>
      <c r="E3938" s="5"/>
      <c r="F3938" s="5"/>
      <c r="G3938" s="5"/>
      <c r="H3938" s="5"/>
      <c r="I3938" s="5"/>
      <c r="J3938" s="5"/>
      <c r="K3938" s="5"/>
      <c r="L3938" s="5"/>
      <c r="M3938" s="5"/>
      <c r="N3938" s="5"/>
      <c r="O3938" s="5"/>
      <c r="P3938" s="5"/>
      <c r="Q3938" s="5"/>
      <c r="R3938" s="5"/>
      <c r="S3938" s="5"/>
      <c r="T3938" s="5"/>
      <c r="U3938" s="5"/>
      <c r="V3938" s="5"/>
      <c r="W3938" s="5"/>
      <c r="X3938" s="5"/>
      <c r="Y3938" s="5"/>
      <c r="Z3938" s="5"/>
    </row>
    <row r="3939" spans="1:26" ht="15.6" x14ac:dyDescent="0.3">
      <c r="A3939" s="18" t="s">
        <v>5</v>
      </c>
      <c r="B3939" s="22" t="s">
        <v>3922</v>
      </c>
      <c r="C3939" s="2" t="str">
        <f ca="1">IFERROR(__xludf.DUMMYFUNCTION("GOOGLETRANSLATE(B3939, ""bn"", ""en"")"),"In March 2021, at least 5 people were killed and several seriously injured in an attack on a temple that set it on fire.")</f>
        <v>In March 2021, at least 5 people were killed and several seriously injured in an attack on a temple that set it on fire.</v>
      </c>
      <c r="D3939" s="5"/>
      <c r="E3939" s="5"/>
      <c r="F3939" s="5"/>
      <c r="G3939" s="5"/>
      <c r="H3939" s="5"/>
      <c r="I3939" s="5"/>
      <c r="J3939" s="5"/>
      <c r="K3939" s="5"/>
      <c r="L3939" s="5"/>
      <c r="M3939" s="5"/>
      <c r="N3939" s="5"/>
      <c r="O3939" s="5"/>
      <c r="P3939" s="5"/>
      <c r="Q3939" s="5"/>
      <c r="R3939" s="5"/>
      <c r="S3939" s="5"/>
      <c r="T3939" s="5"/>
      <c r="U3939" s="5"/>
      <c r="V3939" s="5"/>
      <c r="W3939" s="5"/>
      <c r="X3939" s="5"/>
      <c r="Y3939" s="5"/>
      <c r="Z3939" s="5"/>
    </row>
    <row r="3940" spans="1:26" ht="15.6" x14ac:dyDescent="0.3">
      <c r="A3940" s="18" t="s">
        <v>3</v>
      </c>
      <c r="B3940" s="24" t="s">
        <v>3923</v>
      </c>
      <c r="C3940" s="2" t="str">
        <f ca="1">IFERROR(__xludf.DUMMYFUNCTION("GOOGLETRANSLATE(B3940, ""bn"", ""en"")"),"Only Allah is the owner of the unseen. Immediately after the birth of the Prophet (PBUH), on the command of Allah, Gabriel (PBUH) toured all the creations of Allah. That is why the Prophet (PBUH) knows everything.")</f>
        <v>Only Allah is the owner of the unseen. Immediately after the birth of the Prophet (PBUH), on the command of Allah, Gabriel (PBUH) toured all the creations of Allah. That is why the Prophet (PBUH) knows everything.</v>
      </c>
      <c r="D3940" s="14"/>
      <c r="E3940" s="14"/>
      <c r="F3940" s="5"/>
      <c r="G3940" s="5"/>
      <c r="H3940" s="5"/>
      <c r="I3940" s="5"/>
      <c r="J3940" s="5"/>
      <c r="K3940" s="5"/>
      <c r="L3940" s="5"/>
      <c r="M3940" s="5"/>
      <c r="N3940" s="5"/>
      <c r="O3940" s="5"/>
      <c r="P3940" s="5"/>
      <c r="Q3940" s="5"/>
      <c r="R3940" s="5"/>
      <c r="S3940" s="5"/>
      <c r="T3940" s="5"/>
      <c r="U3940" s="5"/>
      <c r="V3940" s="5"/>
      <c r="W3940" s="5"/>
      <c r="X3940" s="5"/>
      <c r="Y3940" s="5"/>
      <c r="Z3940" s="5"/>
    </row>
    <row r="3941" spans="1:26" ht="15.6" x14ac:dyDescent="0.3">
      <c r="A3941" s="18" t="s">
        <v>8</v>
      </c>
      <c r="B3941" s="24" t="s">
        <v>3924</v>
      </c>
      <c r="C3941" s="2" t="str">
        <f ca="1">IFERROR(__xludf.DUMMYFUNCTION("GOOGLETRANSLATE(B3941, ""bn"", ""en"")"),"The idol and the back of the temple wall were completely blown away. Later, temples and ashrams were destroyed. Many were asleep and some were awake when the executioners entered the temples and ashrams.")</f>
        <v>The idol and the back of the temple wall were completely blown away. Later, temples and ashrams were destroyed. Many were asleep and some were awake when the executioners entered the temples and ashrams.</v>
      </c>
      <c r="D3941" s="2"/>
      <c r="E3941" s="2"/>
      <c r="F3941" s="5"/>
      <c r="G3941" s="5"/>
      <c r="H3941" s="5"/>
      <c r="I3941" s="5"/>
      <c r="J3941" s="5"/>
      <c r="K3941" s="5"/>
      <c r="L3941" s="5"/>
      <c r="M3941" s="5"/>
      <c r="N3941" s="5"/>
      <c r="O3941" s="5"/>
      <c r="P3941" s="5"/>
      <c r="Q3941" s="5"/>
      <c r="R3941" s="5"/>
      <c r="S3941" s="5"/>
      <c r="T3941" s="5"/>
      <c r="U3941" s="5"/>
      <c r="V3941" s="5"/>
      <c r="W3941" s="5"/>
      <c r="X3941" s="5"/>
      <c r="Y3941" s="5"/>
      <c r="Z3941" s="5"/>
    </row>
    <row r="3942" spans="1:26" ht="15.6" x14ac:dyDescent="0.3">
      <c r="A3942" s="18" t="s">
        <v>23</v>
      </c>
      <c r="B3942" s="24" t="s">
        <v>3925</v>
      </c>
      <c r="C3942" s="2" t="str">
        <f ca="1">IFERROR(__xludf.DUMMYFUNCTION("GOOGLETRANSLATE(B3942, ""bn"", ""en"")"),"Non-Muslims who behave inhumanly can never be on the right path, they deserve punishment, not love.")</f>
        <v>Non-Muslims who behave inhumanly can never be on the right path, they deserve punishment, not love.</v>
      </c>
      <c r="D3942" s="14"/>
      <c r="E3942" s="14"/>
      <c r="F3942" s="14"/>
      <c r="G3942" s="14"/>
      <c r="H3942" s="14"/>
      <c r="I3942" s="14"/>
      <c r="J3942" s="14"/>
      <c r="K3942" s="14"/>
      <c r="L3942" s="14"/>
      <c r="M3942" s="14"/>
      <c r="N3942" s="5"/>
      <c r="O3942" s="5"/>
      <c r="P3942" s="5"/>
      <c r="Q3942" s="5"/>
      <c r="R3942" s="5"/>
      <c r="S3942" s="5"/>
      <c r="T3942" s="5"/>
      <c r="U3942" s="5"/>
      <c r="V3942" s="5"/>
      <c r="W3942" s="5"/>
      <c r="X3942" s="5"/>
      <c r="Y3942" s="5"/>
      <c r="Z3942" s="5"/>
    </row>
    <row r="3943" spans="1:26" ht="15.6" x14ac:dyDescent="0.3">
      <c r="A3943" s="18" t="s">
        <v>23</v>
      </c>
      <c r="B3943" s="24" t="s">
        <v>3926</v>
      </c>
      <c r="C3943" s="2" t="str">
        <f ca="1">IFERROR(__xludf.DUMMYFUNCTION("GOOGLETRANSLATE(B3943, ""bn"", ""en"")"),"Religion teaches love and tolerance among people, but government and politics often maintain power by inciting sectarianism, while simultaneously promoting secularism.")</f>
        <v>Religion teaches love and tolerance among people, but government and politics often maintain power by inciting sectarianism, while simultaneously promoting secularism.</v>
      </c>
      <c r="D3943" s="2"/>
      <c r="E3943" s="2"/>
      <c r="F3943" s="2"/>
      <c r="G3943" s="2"/>
      <c r="H3943" s="2"/>
      <c r="I3943" s="2"/>
      <c r="J3943" s="2"/>
      <c r="K3943" s="2"/>
      <c r="L3943" s="2"/>
      <c r="M3943" s="2"/>
      <c r="N3943" s="5"/>
      <c r="O3943" s="5"/>
      <c r="P3943" s="5"/>
      <c r="Q3943" s="5"/>
      <c r="R3943" s="5"/>
      <c r="S3943" s="5"/>
      <c r="T3943" s="5"/>
      <c r="U3943" s="5"/>
      <c r="V3943" s="5"/>
      <c r="W3943" s="5"/>
      <c r="X3943" s="5"/>
      <c r="Y3943" s="5"/>
      <c r="Z3943" s="5"/>
    </row>
    <row r="3944" spans="1:26" ht="15.6" x14ac:dyDescent="0.3">
      <c r="A3944" s="18" t="s">
        <v>3</v>
      </c>
      <c r="B3944" s="24" t="s">
        <v>3927</v>
      </c>
      <c r="C3944" s="2" t="str">
        <f ca="1">IFERROR(__xludf.DUMMYFUNCTION("GOOGLETRANSLATE(B3944, ""bn"", ""en"")"),"Extrajudicial killing has been declared haram in Islam according to Quran and Hadith.")</f>
        <v>Extrajudicial killing has been declared haram in Islam according to Quran and Hadith.</v>
      </c>
      <c r="D3944" s="2"/>
      <c r="E3944" s="14"/>
      <c r="F3944" s="14"/>
      <c r="G3944" s="14"/>
      <c r="H3944" s="14"/>
      <c r="I3944" s="14"/>
      <c r="J3944" s="14"/>
      <c r="K3944" s="14"/>
      <c r="L3944" s="14"/>
      <c r="M3944" s="14"/>
      <c r="N3944" s="5"/>
      <c r="O3944" s="5"/>
      <c r="P3944" s="5"/>
      <c r="Q3944" s="5"/>
      <c r="R3944" s="5"/>
      <c r="S3944" s="5"/>
      <c r="T3944" s="5"/>
      <c r="U3944" s="5"/>
      <c r="V3944" s="5"/>
      <c r="W3944" s="5"/>
      <c r="X3944" s="5"/>
      <c r="Y3944" s="5"/>
      <c r="Z3944" s="5"/>
    </row>
    <row r="3945" spans="1:26" ht="15.6" x14ac:dyDescent="0.3">
      <c r="A3945" s="18" t="s">
        <v>23</v>
      </c>
      <c r="B3945" s="24" t="s">
        <v>3928</v>
      </c>
      <c r="C3945" s="2" t="str">
        <f ca="1">IFERROR(__xludf.DUMMYFUNCTION("GOOGLETRANSLATE(B3945, ""bn"", ""en"")"),"I feel very sad when I see the picture of idols in some masjid tys and again the picture of idol of Koran in patham kabare.")</f>
        <v>I feel very sad when I see the picture of idols in some masjid tys and again the picture of idol of Koran in patham kabare.</v>
      </c>
      <c r="D3945" s="14"/>
      <c r="E3945" s="14"/>
      <c r="F3945" s="14"/>
      <c r="G3945" s="14"/>
      <c r="H3945" s="14"/>
      <c r="I3945" s="14"/>
      <c r="J3945" s="14"/>
      <c r="K3945" s="14"/>
      <c r="L3945" s="14"/>
      <c r="M3945" s="14"/>
      <c r="N3945" s="5"/>
      <c r="O3945" s="5"/>
      <c r="P3945" s="5"/>
      <c r="Q3945" s="5"/>
      <c r="R3945" s="5"/>
      <c r="S3945" s="5"/>
      <c r="T3945" s="5"/>
      <c r="U3945" s="5"/>
      <c r="V3945" s="5"/>
      <c r="W3945" s="5"/>
      <c r="X3945" s="5"/>
      <c r="Y3945" s="5"/>
      <c r="Z3945" s="5"/>
    </row>
    <row r="3946" spans="1:26" ht="15.6" x14ac:dyDescent="0.3">
      <c r="A3946" s="18" t="s">
        <v>3</v>
      </c>
      <c r="B3946" s="24" t="s">
        <v>3929</v>
      </c>
      <c r="C3946" s="2" t="str">
        <f ca="1">IFERROR(__xludf.DUMMYFUNCTION("GOOGLETRANSLATE(B3946, ""bn"", ""en"")"),"But we are saying that those who are elderly, those who have doubts, or those who have come from abroad, we have forbidden them to gather in limited means for prayers. We are trying to create awareness in this regard through imams and khatibs of mosques.")</f>
        <v>But we are saying that those who are elderly, those who have doubts, or those who have come from abroad, we have forbidden them to gather in limited means for prayers. We are trying to create awareness in this regard through imams and khatibs of mosques.</v>
      </c>
      <c r="D3946" s="14"/>
      <c r="E3946" s="14"/>
      <c r="F3946" s="14"/>
      <c r="G3946" s="14"/>
      <c r="H3946" s="14"/>
      <c r="I3946" s="14"/>
      <c r="J3946" s="14"/>
      <c r="K3946" s="14"/>
      <c r="L3946" s="14"/>
      <c r="M3946" s="14"/>
      <c r="N3946" s="5"/>
      <c r="O3946" s="5"/>
      <c r="P3946" s="5"/>
      <c r="Q3946" s="5"/>
      <c r="R3946" s="5"/>
      <c r="S3946" s="5"/>
      <c r="T3946" s="5"/>
      <c r="U3946" s="5"/>
      <c r="V3946" s="5"/>
      <c r="W3946" s="5"/>
      <c r="X3946" s="5"/>
      <c r="Y3946" s="5"/>
      <c r="Z3946" s="5"/>
    </row>
    <row r="3947" spans="1:26" ht="15.6" x14ac:dyDescent="0.3">
      <c r="A3947" s="18" t="s">
        <v>23</v>
      </c>
      <c r="B3947" s="24" t="s">
        <v>3930</v>
      </c>
      <c r="C3947" s="2" t="str">
        <f ca="1">IFERROR(__xludf.DUMMYFUNCTION("GOOGLETRANSLATE(B3947, ""bn"", ""en"")"),"Prepare also to dance the demon's dance in joy of victory; The stage may collapse before the dance is over.")</f>
        <v>Prepare also to dance the demon's dance in joy of victory; The stage may collapse before the dance is over.</v>
      </c>
      <c r="D3947" s="2"/>
      <c r="E3947" s="2"/>
      <c r="F3947" s="2"/>
      <c r="G3947" s="14"/>
      <c r="H3947" s="14"/>
      <c r="I3947" s="14"/>
      <c r="J3947" s="14"/>
      <c r="K3947" s="14"/>
      <c r="L3947" s="14"/>
      <c r="M3947" s="14"/>
      <c r="N3947" s="5"/>
      <c r="O3947" s="5"/>
      <c r="P3947" s="5"/>
      <c r="Q3947" s="5"/>
      <c r="R3947" s="5"/>
      <c r="S3947" s="5"/>
      <c r="T3947" s="5"/>
      <c r="U3947" s="5"/>
      <c r="V3947" s="5"/>
      <c r="W3947" s="5"/>
      <c r="X3947" s="5"/>
      <c r="Y3947" s="5"/>
      <c r="Z3947" s="5"/>
    </row>
    <row r="3948" spans="1:26" ht="15.6" x14ac:dyDescent="0.3">
      <c r="A3948" s="18" t="s">
        <v>23</v>
      </c>
      <c r="B3948" s="24" t="s">
        <v>3931</v>
      </c>
      <c r="C3948" s="2" t="str">
        <f ca="1">IFERROR(__xludf.DUMMYFUNCTION("GOOGLETRANSLATE(B3948, ""bn"", ""en"")"),"Prejudice against other nations in the name of religion and keeping distance from one's brother Bengalis is against the teachings of Islam and it only leads to communal division and not peace.")</f>
        <v>Prejudice against other nations in the name of religion and keeping distance from one's brother Bengalis is against the teachings of Islam and it only leads to communal division and not peace.</v>
      </c>
      <c r="D3948" s="14"/>
      <c r="E3948" s="14"/>
      <c r="F3948" s="14"/>
      <c r="G3948" s="14"/>
      <c r="H3948" s="14"/>
      <c r="I3948" s="14"/>
      <c r="J3948" s="14"/>
      <c r="K3948" s="14"/>
      <c r="L3948" s="14"/>
      <c r="M3948" s="14"/>
      <c r="N3948" s="5"/>
      <c r="O3948" s="5"/>
      <c r="P3948" s="5"/>
      <c r="Q3948" s="5"/>
      <c r="R3948" s="5"/>
      <c r="S3948" s="5"/>
      <c r="T3948" s="5"/>
      <c r="U3948" s="5"/>
      <c r="V3948" s="5"/>
      <c r="W3948" s="5"/>
      <c r="X3948" s="5"/>
      <c r="Y3948" s="5"/>
      <c r="Z3948" s="5"/>
    </row>
    <row r="3949" spans="1:26" ht="15.6" x14ac:dyDescent="0.3">
      <c r="A3949" s="18" t="s">
        <v>5</v>
      </c>
      <c r="B3949" s="24" t="s">
        <v>3932</v>
      </c>
      <c r="C3949" s="2" t="str">
        <f ca="1">IFERROR(__xludf.DUMMYFUNCTION("GOOGLETRANSLATE(B3949, ""bn"", ""en"")"),"Hindu widows were forced to commit suicide or burned to death after the death of their husbands in order to deprive them of inheritance, an example of extreme brutality and oppression in the name of religious practices.")</f>
        <v>Hindu widows were forced to commit suicide or burned to death after the death of their husbands in order to deprive them of inheritance, an example of extreme brutality and oppression in the name of religious practices.</v>
      </c>
      <c r="D3949" s="14"/>
      <c r="E3949" s="14"/>
      <c r="F3949" s="14"/>
      <c r="G3949" s="14"/>
      <c r="H3949" s="14"/>
      <c r="I3949" s="14"/>
      <c r="J3949" s="14"/>
      <c r="K3949" s="14"/>
      <c r="L3949" s="14"/>
      <c r="M3949" s="14"/>
      <c r="N3949" s="5"/>
      <c r="O3949" s="5"/>
      <c r="P3949" s="5"/>
      <c r="Q3949" s="5"/>
      <c r="R3949" s="5"/>
      <c r="S3949" s="5"/>
      <c r="T3949" s="5"/>
      <c r="U3949" s="5"/>
      <c r="V3949" s="5"/>
      <c r="W3949" s="5"/>
      <c r="X3949" s="5"/>
      <c r="Y3949" s="5"/>
      <c r="Z3949" s="5"/>
    </row>
    <row r="3950" spans="1:26" ht="15.6" x14ac:dyDescent="0.3">
      <c r="A3950" s="18" t="s">
        <v>23</v>
      </c>
      <c r="B3950" s="24" t="s">
        <v>3933</v>
      </c>
      <c r="C3950" s="2" t="str">
        <f ca="1">IFERROR(__xludf.DUMMYFUNCTION("GOOGLETRANSLATE(B3950, ""bn"", ""en"")"),"Take up the cross in the name of the martyr Jesus and jump into the fire to prove your chastity.")</f>
        <v>Take up the cross in the name of the martyr Jesus and jump into the fire to prove your chastity.</v>
      </c>
      <c r="D3950" s="2"/>
      <c r="E3950" s="14"/>
      <c r="F3950" s="14"/>
      <c r="G3950" s="14"/>
      <c r="H3950" s="14"/>
      <c r="I3950" s="14"/>
      <c r="J3950" s="14"/>
      <c r="K3950" s="14"/>
      <c r="L3950" s="14"/>
      <c r="M3950" s="14"/>
      <c r="N3950" s="5"/>
      <c r="O3950" s="5"/>
      <c r="P3950" s="5"/>
      <c r="Q3950" s="5"/>
      <c r="R3950" s="5"/>
      <c r="S3950" s="5"/>
      <c r="T3950" s="5"/>
      <c r="U3950" s="5"/>
      <c r="V3950" s="5"/>
      <c r="W3950" s="5"/>
      <c r="X3950" s="5"/>
      <c r="Y3950" s="5"/>
      <c r="Z3950" s="5"/>
    </row>
    <row r="3951" spans="1:26" ht="15.6" x14ac:dyDescent="0.3">
      <c r="A3951" s="18" t="s">
        <v>23</v>
      </c>
      <c r="B3951" s="24" t="s">
        <v>3934</v>
      </c>
      <c r="C3951" s="2" t="str">
        <f ca="1">IFERROR(__xludf.DUMMYFUNCTION("GOOGLETRANSLATE(B3951, ""bn"", ""en"")"),"After that, when everyone's blood color is red, what is the reason for the discord and communal riots? Just to live or something else!")</f>
        <v>After that, when everyone's blood color is red, what is the reason for the discord and communal riots? Just to live or something else!</v>
      </c>
      <c r="D3951" s="14"/>
      <c r="E3951" s="14"/>
      <c r="F3951" s="14"/>
      <c r="G3951" s="14"/>
      <c r="H3951" s="14"/>
      <c r="I3951" s="14"/>
      <c r="J3951" s="14"/>
      <c r="K3951" s="14"/>
      <c r="L3951" s="14"/>
      <c r="M3951" s="14"/>
      <c r="N3951" s="5"/>
      <c r="O3951" s="5"/>
      <c r="P3951" s="5"/>
      <c r="Q3951" s="5"/>
      <c r="R3951" s="5"/>
      <c r="S3951" s="5"/>
      <c r="T3951" s="5"/>
      <c r="U3951" s="5"/>
      <c r="V3951" s="5"/>
      <c r="W3951" s="5"/>
      <c r="X3951" s="5"/>
      <c r="Y3951" s="5"/>
      <c r="Z3951" s="5"/>
    </row>
    <row r="3952" spans="1:26" ht="15.6" x14ac:dyDescent="0.3">
      <c r="A3952" s="18" t="s">
        <v>23</v>
      </c>
      <c r="B3952" s="24" t="s">
        <v>3935</v>
      </c>
      <c r="C3952" s="2" t="str">
        <f ca="1">IFERROR(__xludf.DUMMYFUNCTION("GOOGLETRANSLATE(B3952, ""bn"", ""en"")"),"Due to the threat of Al Qaeda, the government has to give importance to the sentiments of the people so that the country does not fall prey to extremism.")</f>
        <v>Due to the threat of Al Qaeda, the government has to give importance to the sentiments of the people so that the country does not fall prey to extremism.</v>
      </c>
      <c r="D3952" s="2"/>
      <c r="E3952" s="2"/>
      <c r="F3952" s="2"/>
      <c r="G3952" s="2"/>
      <c r="H3952" s="14"/>
      <c r="I3952" s="14"/>
      <c r="J3952" s="14"/>
      <c r="K3952" s="14"/>
      <c r="L3952" s="14"/>
      <c r="M3952" s="14"/>
      <c r="N3952" s="5"/>
      <c r="O3952" s="5"/>
      <c r="P3952" s="5"/>
      <c r="Q3952" s="5"/>
      <c r="R3952" s="5"/>
      <c r="S3952" s="5"/>
      <c r="T3952" s="5"/>
      <c r="U3952" s="5"/>
      <c r="V3952" s="5"/>
      <c r="W3952" s="5"/>
      <c r="X3952" s="5"/>
      <c r="Y3952" s="5"/>
      <c r="Z3952" s="5"/>
    </row>
    <row r="3953" spans="1:26" ht="15.6" x14ac:dyDescent="0.3">
      <c r="A3953" s="18" t="s">
        <v>23</v>
      </c>
      <c r="B3953" s="24" t="s">
        <v>3936</v>
      </c>
      <c r="C3953" s="2" t="str">
        <f ca="1">IFERROR(__xludf.DUMMYFUNCTION("GOOGLETRANSLATE(B3953, ""bn"", ""en"")"),"For everyone who participates in or takes part in desecration of the Qur'an, there is great suffering and severe punishment in this world and the hereafter.")</f>
        <v>For everyone who participates in or takes part in desecration of the Qur'an, there is great suffering and severe punishment in this world and the hereafter.</v>
      </c>
      <c r="D3953" s="14"/>
      <c r="E3953" s="14"/>
      <c r="F3953" s="14"/>
      <c r="G3953" s="14"/>
      <c r="H3953" s="14"/>
      <c r="I3953" s="14"/>
      <c r="J3953" s="14"/>
      <c r="K3953" s="14"/>
      <c r="L3953" s="14"/>
      <c r="M3953" s="14"/>
      <c r="N3953" s="5"/>
      <c r="O3953" s="5"/>
      <c r="P3953" s="5"/>
      <c r="Q3953" s="5"/>
      <c r="R3953" s="5"/>
      <c r="S3953" s="5"/>
      <c r="T3953" s="5"/>
      <c r="U3953" s="5"/>
      <c r="V3953" s="5"/>
      <c r="W3953" s="5"/>
      <c r="X3953" s="5"/>
      <c r="Y3953" s="5"/>
      <c r="Z3953" s="5"/>
    </row>
    <row r="3954" spans="1:26" ht="15.6" x14ac:dyDescent="0.3">
      <c r="A3954" s="18" t="s">
        <v>8</v>
      </c>
      <c r="B3954" s="24" t="s">
        <v>3937</v>
      </c>
      <c r="C3954" s="2" t="str">
        <f ca="1">IFERROR(__xludf.DUMMYFUNCTION("GOOGLETRANSLATE(B3954, ""bn"", ""en"")"),"A group of miscreants broke the door of an old temple and vandalized the idol in Barisal.")</f>
        <v>A group of miscreants broke the door of an old temple and vandalized the idol in Barisal.</v>
      </c>
      <c r="D3954" s="5"/>
      <c r="E3954" s="5"/>
      <c r="F3954" s="5"/>
      <c r="G3954" s="5"/>
      <c r="H3954" s="5"/>
      <c r="I3954" s="5"/>
      <c r="J3954" s="5"/>
      <c r="K3954" s="5"/>
      <c r="L3954" s="5"/>
      <c r="M3954" s="5"/>
      <c r="N3954" s="5"/>
      <c r="O3954" s="5"/>
      <c r="P3954" s="5"/>
      <c r="Q3954" s="5"/>
      <c r="R3954" s="5"/>
      <c r="S3954" s="5"/>
      <c r="T3954" s="5"/>
      <c r="U3954" s="5"/>
      <c r="V3954" s="5"/>
      <c r="W3954" s="5"/>
      <c r="X3954" s="5"/>
      <c r="Y3954" s="5"/>
      <c r="Z3954" s="5"/>
    </row>
    <row r="3955" spans="1:26" ht="15.6" x14ac:dyDescent="0.3">
      <c r="A3955" s="18" t="s">
        <v>23</v>
      </c>
      <c r="B3955" s="24" t="s">
        <v>3938</v>
      </c>
      <c r="C3955" s="2" t="str">
        <f ca="1">IFERROR(__xludf.DUMMYFUNCTION("GOOGLETRANSLATE(B3955, ""bn"", ""en"")"),"A Christian's ringing of church bells is actually answering the devil's call.")</f>
        <v>A Christian's ringing of church bells is actually answering the devil's call.</v>
      </c>
      <c r="D3955" s="5"/>
      <c r="E3955" s="5"/>
      <c r="F3955" s="5"/>
      <c r="G3955" s="5"/>
      <c r="H3955" s="5"/>
      <c r="I3955" s="5"/>
      <c r="J3955" s="5"/>
      <c r="K3955" s="5"/>
      <c r="L3955" s="5"/>
      <c r="M3955" s="5"/>
      <c r="N3955" s="5"/>
      <c r="O3955" s="5"/>
      <c r="P3955" s="5"/>
      <c r="Q3955" s="5"/>
      <c r="R3955" s="5"/>
      <c r="S3955" s="5"/>
      <c r="T3955" s="5"/>
      <c r="U3955" s="5"/>
      <c r="V3955" s="5"/>
      <c r="W3955" s="5"/>
      <c r="X3955" s="5"/>
      <c r="Y3955" s="5"/>
      <c r="Z3955" s="5"/>
    </row>
    <row r="3956" spans="1:26" ht="15.6" x14ac:dyDescent="0.3">
      <c r="A3956" s="18" t="s">
        <v>5</v>
      </c>
      <c r="B3956" s="24" t="s">
        <v>3939</v>
      </c>
      <c r="C3956" s="2" t="str">
        <f ca="1">IFERROR(__xludf.DUMMYFUNCTION("GOOGLETRANSLATE(B3956, ""bn"", ""en"")"),"In November 2020, 38 people were killed and hundreds injured in a suicide bombing at a mosque in Rajshahi.")</f>
        <v>In November 2020, 38 people were killed and hundreds injured in a suicide bombing at a mosque in Rajshahi.</v>
      </c>
      <c r="D3956" s="5"/>
      <c r="E3956" s="5"/>
      <c r="F3956" s="5"/>
      <c r="G3956" s="5"/>
      <c r="H3956" s="5"/>
      <c r="I3956" s="5"/>
      <c r="J3956" s="5"/>
      <c r="K3956" s="5"/>
      <c r="L3956" s="5"/>
      <c r="M3956" s="5"/>
      <c r="N3956" s="5"/>
      <c r="O3956" s="5"/>
      <c r="P3956" s="5"/>
      <c r="Q3956" s="5"/>
      <c r="R3956" s="5"/>
      <c r="S3956" s="5"/>
      <c r="T3956" s="5"/>
      <c r="U3956" s="5"/>
      <c r="V3956" s="5"/>
      <c r="W3956" s="5"/>
      <c r="X3956" s="5"/>
      <c r="Y3956" s="5"/>
      <c r="Z3956" s="5"/>
    </row>
    <row r="3957" spans="1:26" ht="15.6" x14ac:dyDescent="0.3">
      <c r="A3957" s="18" t="s">
        <v>23</v>
      </c>
      <c r="B3957" s="24" t="s">
        <v>3940</v>
      </c>
      <c r="C3957" s="2" t="str">
        <f ca="1">IFERROR(__xludf.DUMMYFUNCTION("GOOGLETRANSLATE(B3957, ""bn"", ""en"")"),"Buddhist worship is a superstition, this should be stopped.")</f>
        <v>Buddhist worship is a superstition, this should be stopped.</v>
      </c>
      <c r="D3957" s="5"/>
      <c r="E3957" s="5"/>
      <c r="F3957" s="5"/>
      <c r="G3957" s="5"/>
      <c r="H3957" s="5"/>
      <c r="I3957" s="5"/>
      <c r="J3957" s="5"/>
      <c r="K3957" s="5"/>
      <c r="L3957" s="5"/>
      <c r="M3957" s="5"/>
      <c r="N3957" s="5"/>
      <c r="O3957" s="5"/>
      <c r="P3957" s="5"/>
      <c r="Q3957" s="5"/>
      <c r="R3957" s="5"/>
      <c r="S3957" s="5"/>
      <c r="T3957" s="5"/>
      <c r="U3957" s="5"/>
      <c r="V3957" s="5"/>
      <c r="W3957" s="5"/>
      <c r="X3957" s="5"/>
      <c r="Y3957" s="5"/>
      <c r="Z3957" s="5"/>
    </row>
    <row r="3958" spans="1:26" ht="15.6" x14ac:dyDescent="0.3">
      <c r="A3958" s="18" t="s">
        <v>8</v>
      </c>
      <c r="B3958" s="24" t="s">
        <v>3941</v>
      </c>
      <c r="C3958" s="2" t="str">
        <f ca="1">IFERROR(__xludf.DUMMYFUNCTION("GOOGLETRANSLATE(B3958, ""bn"", ""en"")"),"Miscreants broke down the gate of a church in Sylhet and wrote anti-religious slogans in black on the wall.")</f>
        <v>Miscreants broke down the gate of a church in Sylhet and wrote anti-religious slogans in black on the wall.</v>
      </c>
      <c r="D3958" s="5"/>
      <c r="E3958" s="5"/>
      <c r="F3958" s="5"/>
      <c r="G3958" s="5"/>
      <c r="H3958" s="5"/>
      <c r="I3958" s="5"/>
      <c r="J3958" s="5"/>
      <c r="K3958" s="5"/>
      <c r="L3958" s="5"/>
      <c r="M3958" s="5"/>
      <c r="N3958" s="5"/>
      <c r="O3958" s="5"/>
      <c r="P3958" s="5"/>
      <c r="Q3958" s="5"/>
      <c r="R3958" s="5"/>
      <c r="S3958" s="5"/>
      <c r="T3958" s="5"/>
      <c r="U3958" s="5"/>
      <c r="V3958" s="5"/>
      <c r="W3958" s="5"/>
      <c r="X3958" s="5"/>
      <c r="Y3958" s="5"/>
      <c r="Z3958" s="5"/>
    </row>
    <row r="3959" spans="1:26" ht="15.6" x14ac:dyDescent="0.3">
      <c r="A3959" s="18" t="s">
        <v>5</v>
      </c>
      <c r="B3959" s="24" t="s">
        <v>3942</v>
      </c>
      <c r="C3959" s="2" t="str">
        <f ca="1">IFERROR(__xludf.DUMMYFUNCTION("GOOGLETRANSLATE(B3959, ""bn"", ""en"")"),"A group of masked people shot and killed 7 people at a religious event in Khulna.")</f>
        <v>A group of masked people shot and killed 7 people at a religious event in Khulna.</v>
      </c>
      <c r="D3959" s="5"/>
      <c r="E3959" s="5"/>
      <c r="F3959" s="5"/>
      <c r="G3959" s="5"/>
      <c r="H3959" s="5"/>
      <c r="I3959" s="5"/>
      <c r="J3959" s="5"/>
      <c r="K3959" s="5"/>
      <c r="L3959" s="5"/>
      <c r="M3959" s="5"/>
      <c r="N3959" s="5"/>
      <c r="O3959" s="5"/>
      <c r="P3959" s="5"/>
      <c r="Q3959" s="5"/>
      <c r="R3959" s="5"/>
      <c r="S3959" s="5"/>
      <c r="T3959" s="5"/>
      <c r="U3959" s="5"/>
      <c r="V3959" s="5"/>
      <c r="W3959" s="5"/>
      <c r="X3959" s="5"/>
      <c r="Y3959" s="5"/>
      <c r="Z3959" s="5"/>
    </row>
    <row r="3960" spans="1:26" ht="15.6" x14ac:dyDescent="0.3">
      <c r="A3960" s="18" t="s">
        <v>8</v>
      </c>
      <c r="B3960" s="24" t="s">
        <v>3943</v>
      </c>
      <c r="C3960" s="2" t="str">
        <f ca="1">IFERROR(__xludf.DUMMYFUNCTION("GOOGLETRANSLATE(B3960, ""bn"", ""en"")"),"During the Gita reading in Noakhali, some youths entered the pujamandap and broke the sound system and the idol.")</f>
        <v>During the Gita reading in Noakhali, some youths entered the pujamandap and broke the sound system and the idol.</v>
      </c>
      <c r="D3960" s="5"/>
      <c r="E3960" s="5"/>
      <c r="F3960" s="5"/>
      <c r="G3960" s="5"/>
      <c r="H3960" s="5"/>
      <c r="I3960" s="5"/>
      <c r="J3960" s="5"/>
      <c r="K3960" s="5"/>
      <c r="L3960" s="5"/>
      <c r="M3960" s="5"/>
      <c r="N3960" s="5"/>
      <c r="O3960" s="5"/>
      <c r="P3960" s="5"/>
      <c r="Q3960" s="5"/>
      <c r="R3960" s="5"/>
      <c r="S3960" s="5"/>
      <c r="T3960" s="5"/>
      <c r="U3960" s="5"/>
      <c r="V3960" s="5"/>
      <c r="W3960" s="5"/>
      <c r="X3960" s="5"/>
      <c r="Y3960" s="5"/>
      <c r="Z3960" s="5"/>
    </row>
    <row r="3961" spans="1:26" ht="15.6" x14ac:dyDescent="0.3">
      <c r="A3961" s="18" t="s">
        <v>23</v>
      </c>
      <c r="B3961" s="24" t="s">
        <v>3944</v>
      </c>
      <c r="C3961" s="2" t="str">
        <f ca="1">IFERROR(__xludf.DUMMYFUNCTION("GOOGLETRANSLATE(B3961, ""bn"", ""en"")"),"Celebrating festivals of religions other than Muslims is a sin, those who do are heretics.")</f>
        <v>Celebrating festivals of religions other than Muslims is a sin, those who do are heretics.</v>
      </c>
      <c r="D3961" s="5"/>
      <c r="E3961" s="5"/>
      <c r="F3961" s="5"/>
      <c r="G3961" s="5"/>
      <c r="H3961" s="5"/>
      <c r="I3961" s="5"/>
      <c r="J3961" s="5"/>
      <c r="K3961" s="5"/>
      <c r="L3961" s="5"/>
      <c r="M3961" s="5"/>
      <c r="N3961" s="5"/>
      <c r="O3961" s="5"/>
      <c r="P3961" s="5"/>
      <c r="Q3961" s="5"/>
      <c r="R3961" s="5"/>
      <c r="S3961" s="5"/>
      <c r="T3961" s="5"/>
      <c r="U3961" s="5"/>
      <c r="V3961" s="5"/>
      <c r="W3961" s="5"/>
      <c r="X3961" s="5"/>
      <c r="Y3961" s="5"/>
      <c r="Z3961" s="5"/>
    </row>
    <row r="3962" spans="1:26" ht="15.6" x14ac:dyDescent="0.3">
      <c r="A3962" s="18" t="s">
        <v>5</v>
      </c>
      <c r="B3962" s="24" t="s">
        <v>3945</v>
      </c>
      <c r="C3962" s="2" t="str">
        <f ca="1">IFERROR(__xludf.DUMMYFUNCTION("GOOGLETRANSLATE(B3962, ""bn"", ""en"")"),"Four people were burnt to death in a Christian place of worship in Sunamganj.")</f>
        <v>Four people were burnt to death in a Christian place of worship in Sunamganj.</v>
      </c>
      <c r="D3962" s="5"/>
      <c r="E3962" s="5"/>
      <c r="F3962" s="5"/>
      <c r="G3962" s="5"/>
      <c r="H3962" s="5"/>
      <c r="I3962" s="5"/>
      <c r="J3962" s="5"/>
      <c r="K3962" s="5"/>
      <c r="L3962" s="5"/>
      <c r="M3962" s="5"/>
      <c r="N3962" s="5"/>
      <c r="O3962" s="5"/>
      <c r="P3962" s="5"/>
      <c r="Q3962" s="5"/>
      <c r="R3962" s="5"/>
      <c r="S3962" s="5"/>
      <c r="T3962" s="5"/>
      <c r="U3962" s="5"/>
      <c r="V3962" s="5"/>
      <c r="W3962" s="5"/>
      <c r="X3962" s="5"/>
      <c r="Y3962" s="5"/>
      <c r="Z3962" s="5"/>
    </row>
    <row r="3963" spans="1:26" ht="15.6" x14ac:dyDescent="0.3">
      <c r="A3963" s="18" t="s">
        <v>8</v>
      </c>
      <c r="B3963" s="24" t="s">
        <v>3946</v>
      </c>
      <c r="C3963" s="2" t="str">
        <f ca="1">IFERROR(__xludf.DUMMYFUNCTION("GOOGLETRANSLATE(B3963, ""bn"", ""en"")"),"In Rajshahi, miscreants did not set Hindu houses on fire but only broke temple tops and idols.")</f>
        <v>In Rajshahi, miscreants did not set Hindu houses on fire but only broke temple tops and idols.</v>
      </c>
      <c r="D3963" s="5"/>
      <c r="E3963" s="5"/>
      <c r="F3963" s="5"/>
      <c r="G3963" s="5"/>
      <c r="H3963" s="5"/>
      <c r="I3963" s="5"/>
      <c r="J3963" s="5"/>
      <c r="K3963" s="5"/>
      <c r="L3963" s="5"/>
      <c r="M3963" s="5"/>
      <c r="N3963" s="5"/>
      <c r="O3963" s="5"/>
      <c r="P3963" s="5"/>
      <c r="Q3963" s="5"/>
      <c r="R3963" s="5"/>
      <c r="S3963" s="5"/>
      <c r="T3963" s="5"/>
      <c r="U3963" s="5"/>
      <c r="V3963" s="5"/>
      <c r="W3963" s="5"/>
      <c r="X3963" s="5"/>
      <c r="Y3963" s="5"/>
      <c r="Z3963" s="5"/>
    </row>
    <row r="3964" spans="1:26" ht="15.6" x14ac:dyDescent="0.3">
      <c r="A3964" s="18" t="s">
        <v>23</v>
      </c>
      <c r="B3964" s="24" t="s">
        <v>3947</v>
      </c>
      <c r="C3964" s="2" t="str">
        <f ca="1">IFERROR(__xludf.DUMMYFUNCTION("GOOGLETRANSLATE(B3964, ""bn"", ""en"")"),"Hindus continue to insult Islam by making plays in the name of God.")</f>
        <v>Hindus continue to insult Islam by making plays in the name of God.</v>
      </c>
      <c r="D3964" s="5"/>
      <c r="E3964" s="5"/>
      <c r="F3964" s="5"/>
      <c r="G3964" s="5"/>
      <c r="H3964" s="5"/>
      <c r="I3964" s="5"/>
      <c r="J3964" s="5"/>
      <c r="K3964" s="5"/>
      <c r="L3964" s="5"/>
      <c r="M3964" s="5"/>
      <c r="N3964" s="5"/>
      <c r="O3964" s="5"/>
      <c r="P3964" s="5"/>
      <c r="Q3964" s="5"/>
      <c r="R3964" s="5"/>
      <c r="S3964" s="5"/>
      <c r="T3964" s="5"/>
      <c r="U3964" s="5"/>
      <c r="V3964" s="5"/>
      <c r="W3964" s="5"/>
      <c r="X3964" s="5"/>
      <c r="Y3964" s="5"/>
      <c r="Z3964" s="5"/>
    </row>
    <row r="3965" spans="1:26" ht="15.6" x14ac:dyDescent="0.3">
      <c r="A3965" s="18" t="s">
        <v>5</v>
      </c>
      <c r="B3965" s="24" t="s">
        <v>3948</v>
      </c>
      <c r="C3965" s="2" t="str">
        <f ca="1">IFERROR(__xludf.DUMMYFUNCTION("GOOGLETRANSLATE(B3965, ""bn"", ""en"")"),"A Buddhist monastery in Bandarban was attacked, 2 monks were killed and the monastery burnt down.")</f>
        <v>A Buddhist monastery in Bandarban was attacked, 2 monks were killed and the monastery burnt down.</v>
      </c>
      <c r="D3965" s="5"/>
      <c r="E3965" s="5"/>
      <c r="F3965" s="5"/>
      <c r="G3965" s="5"/>
      <c r="H3965" s="5"/>
      <c r="I3965" s="5"/>
      <c r="J3965" s="5"/>
      <c r="K3965" s="5"/>
      <c r="L3965" s="5"/>
      <c r="M3965" s="5"/>
      <c r="N3965" s="5"/>
      <c r="O3965" s="5"/>
      <c r="P3965" s="5"/>
      <c r="Q3965" s="5"/>
      <c r="R3965" s="5"/>
      <c r="S3965" s="5"/>
      <c r="T3965" s="5"/>
      <c r="U3965" s="5"/>
      <c r="V3965" s="5"/>
      <c r="W3965" s="5"/>
      <c r="X3965" s="5"/>
      <c r="Y3965" s="5"/>
      <c r="Z3965" s="5"/>
    </row>
    <row r="3966" spans="1:26" ht="15.6" x14ac:dyDescent="0.3">
      <c r="A3966" s="18" t="s">
        <v>8</v>
      </c>
      <c r="B3966" s="24" t="s">
        <v>3949</v>
      </c>
      <c r="C3966" s="2" t="str">
        <f ca="1">IFERROR(__xludf.DUMMYFUNCTION("GOOGLETRANSLATE(B3966, ""bn"", ""en"")"),"In Tangail, a group of people entered the Buddhist monastery and broke the head of the Buddha.")</f>
        <v>In Tangail, a group of people entered the Buddhist monastery and broke the head of the Buddha.</v>
      </c>
      <c r="D3966" s="5"/>
      <c r="E3966" s="5"/>
      <c r="F3966" s="5"/>
      <c r="G3966" s="5"/>
      <c r="H3966" s="5"/>
      <c r="I3966" s="5"/>
      <c r="J3966" s="5"/>
      <c r="K3966" s="5"/>
      <c r="L3966" s="5"/>
      <c r="M3966" s="5"/>
      <c r="N3966" s="5"/>
      <c r="O3966" s="5"/>
      <c r="P3966" s="5"/>
      <c r="Q3966" s="5"/>
      <c r="R3966" s="5"/>
      <c r="S3966" s="5"/>
      <c r="T3966" s="5"/>
      <c r="U3966" s="5"/>
      <c r="V3966" s="5"/>
      <c r="W3966" s="5"/>
      <c r="X3966" s="5"/>
      <c r="Y3966" s="5"/>
      <c r="Z3966" s="5"/>
    </row>
    <row r="3967" spans="1:26" ht="15.6" x14ac:dyDescent="0.3">
      <c r="A3967" s="18" t="s">
        <v>5</v>
      </c>
      <c r="B3967" s="24" t="s">
        <v>3922</v>
      </c>
      <c r="C3967" s="2" t="str">
        <f ca="1">IFERROR(__xludf.DUMMYFUNCTION("GOOGLETRANSLATE(B3967, ""bn"", ""en"")"),"In March 2021, at least 5 people were killed and several seriously injured in an attack on a temple that set it on fire.")</f>
        <v>In March 2021, at least 5 people were killed and several seriously injured in an attack on a temple that set it on fire.</v>
      </c>
      <c r="D3967" s="5"/>
      <c r="E3967" s="5"/>
      <c r="F3967" s="5"/>
      <c r="G3967" s="5"/>
      <c r="H3967" s="5"/>
      <c r="I3967" s="5"/>
      <c r="J3967" s="5"/>
      <c r="K3967" s="5"/>
      <c r="L3967" s="5"/>
      <c r="M3967" s="5"/>
      <c r="N3967" s="5"/>
      <c r="O3967" s="5"/>
      <c r="P3967" s="5"/>
      <c r="Q3967" s="5"/>
      <c r="R3967" s="5"/>
      <c r="S3967" s="5"/>
      <c r="T3967" s="5"/>
      <c r="U3967" s="5"/>
      <c r="V3967" s="5"/>
      <c r="W3967" s="5"/>
      <c r="X3967" s="5"/>
      <c r="Y3967" s="5"/>
      <c r="Z3967" s="5"/>
    </row>
    <row r="3968" spans="1:26" ht="15.6" x14ac:dyDescent="0.3">
      <c r="A3968" s="18" t="s">
        <v>23</v>
      </c>
      <c r="B3968" s="24" t="s">
        <v>3950</v>
      </c>
      <c r="C3968" s="2" t="str">
        <f ca="1">IFERROR(__xludf.DUMMYFUNCTION("GOOGLETRANSLATE(B3968, ""bn"", ""en"")"),"Those who go to church, are indeed infidels — friendship with them is forbidden.")</f>
        <v>Those who go to church, are indeed infidels — friendship with them is forbidden.</v>
      </c>
      <c r="D3968" s="5"/>
      <c r="E3968" s="5"/>
      <c r="F3968" s="5"/>
      <c r="G3968" s="5"/>
      <c r="H3968" s="5"/>
      <c r="I3968" s="5"/>
      <c r="J3968" s="5"/>
      <c r="K3968" s="5"/>
      <c r="L3968" s="5"/>
      <c r="M3968" s="5"/>
      <c r="N3968" s="5"/>
      <c r="O3968" s="5"/>
      <c r="P3968" s="5"/>
      <c r="Q3968" s="5"/>
      <c r="R3968" s="5"/>
      <c r="S3968" s="5"/>
      <c r="T3968" s="5"/>
      <c r="U3968" s="5"/>
      <c r="V3968" s="5"/>
      <c r="W3968" s="5"/>
      <c r="X3968" s="5"/>
      <c r="Y3968" s="5"/>
      <c r="Z3968" s="5"/>
    </row>
    <row r="3969" spans="1:26" ht="15.6" x14ac:dyDescent="0.3">
      <c r="A3969" s="18" t="s">
        <v>8</v>
      </c>
      <c r="B3969" s="24" t="s">
        <v>3951</v>
      </c>
      <c r="C3969" s="2" t="str">
        <f ca="1">IFERROR(__xludf.DUMMYFUNCTION("GOOGLETRANSLATE(B3969, ""bn"", ""en"")"),"In Chittagong, tension was created by spreading torn pages of the Koran in front of mosques.")</f>
        <v>In Chittagong, tension was created by spreading torn pages of the Koran in front of mosques.</v>
      </c>
      <c r="D3969" s="5"/>
      <c r="E3969" s="5"/>
      <c r="F3969" s="5"/>
      <c r="G3969" s="5"/>
      <c r="H3969" s="5"/>
      <c r="I3969" s="5"/>
      <c r="J3969" s="5"/>
      <c r="K3969" s="5"/>
      <c r="L3969" s="5"/>
      <c r="M3969" s="5"/>
      <c r="N3969" s="5"/>
      <c r="O3969" s="5"/>
      <c r="P3969" s="5"/>
      <c r="Q3969" s="5"/>
      <c r="R3969" s="5"/>
      <c r="S3969" s="5"/>
      <c r="T3969" s="5"/>
      <c r="U3969" s="5"/>
      <c r="V3969" s="5"/>
      <c r="W3969" s="5"/>
      <c r="X3969" s="5"/>
      <c r="Y3969" s="5"/>
      <c r="Z3969" s="5"/>
    </row>
    <row r="3970" spans="1:26" ht="15.6" x14ac:dyDescent="0.3">
      <c r="A3970" s="18" t="s">
        <v>5</v>
      </c>
      <c r="B3970" s="24" t="s">
        <v>3952</v>
      </c>
      <c r="C3970" s="2" t="str">
        <f ca="1">IFERROR(__xludf.DUMMYFUNCTION("GOOGLETRANSLATE(B3970, ""bn"", ""en"")"),"3 killed and many injured in clash during religious procession in Mymensingh.")</f>
        <v>3 killed and many injured in clash during religious procession in Mymensingh.</v>
      </c>
      <c r="D3970" s="5"/>
      <c r="E3970" s="5"/>
      <c r="F3970" s="5"/>
      <c r="G3970" s="5"/>
      <c r="H3970" s="5"/>
      <c r="I3970" s="5"/>
      <c r="J3970" s="5"/>
      <c r="K3970" s="5"/>
      <c r="L3970" s="5"/>
      <c r="M3970" s="5"/>
      <c r="N3970" s="5"/>
      <c r="O3970" s="5"/>
      <c r="P3970" s="5"/>
      <c r="Q3970" s="5"/>
      <c r="R3970" s="5"/>
      <c r="S3970" s="5"/>
      <c r="T3970" s="5"/>
      <c r="U3970" s="5"/>
      <c r="V3970" s="5"/>
      <c r="W3970" s="5"/>
      <c r="X3970" s="5"/>
      <c r="Y3970" s="5"/>
      <c r="Z3970" s="5"/>
    </row>
    <row r="3971" spans="1:26" ht="15.6" x14ac:dyDescent="0.3">
      <c r="A3971" s="18" t="s">
        <v>23</v>
      </c>
      <c r="B3971" s="24" t="s">
        <v>3953</v>
      </c>
      <c r="C3971" s="2" t="str">
        <f ca="1">IFERROR(__xludf.DUMMYFUNCTION("GOOGLETRANSLATE(B3971, ""bn"", ""en"")"),"Hindus have no place in this country, they are ruining our culture.")</f>
        <v>Hindus have no place in this country, they are ruining our culture.</v>
      </c>
      <c r="D3971" s="5"/>
      <c r="E3971" s="5"/>
      <c r="F3971" s="5"/>
      <c r="G3971" s="5"/>
      <c r="H3971" s="5"/>
      <c r="I3971" s="5"/>
      <c r="J3971" s="5"/>
      <c r="K3971" s="5"/>
      <c r="L3971" s="5"/>
      <c r="M3971" s="5"/>
      <c r="N3971" s="5"/>
      <c r="O3971" s="5"/>
      <c r="P3971" s="5"/>
      <c r="Q3971" s="5"/>
      <c r="R3971" s="5"/>
      <c r="S3971" s="5"/>
      <c r="T3971" s="5"/>
      <c r="U3971" s="5"/>
      <c r="V3971" s="5"/>
      <c r="W3971" s="5"/>
      <c r="X3971" s="5"/>
      <c r="Y3971" s="5"/>
      <c r="Z3971" s="5"/>
    </row>
    <row r="3972" spans="1:26" ht="15.6" x14ac:dyDescent="0.3">
      <c r="A3972" s="18" t="s">
        <v>8</v>
      </c>
      <c r="B3972" s="24" t="s">
        <v>3954</v>
      </c>
      <c r="C3972" s="2" t="str">
        <f ca="1">IFERROR(__xludf.DUMMYFUNCTION("GOOGLETRANSLATE(B3972, ""bn"", ""en"")"),"Local terrorists pelted stones at the house of a Christian family in Comilla and broke the windows.")</f>
        <v>Local terrorists pelted stones at the house of a Christian family in Comilla and broke the windows.</v>
      </c>
      <c r="D3972" s="5"/>
      <c r="E3972" s="5"/>
      <c r="F3972" s="5"/>
      <c r="G3972" s="5"/>
      <c r="H3972" s="5"/>
      <c r="I3972" s="5"/>
      <c r="J3972" s="5"/>
      <c r="K3972" s="5"/>
      <c r="L3972" s="5"/>
      <c r="M3972" s="5"/>
      <c r="N3972" s="5"/>
      <c r="O3972" s="5"/>
      <c r="P3972" s="5"/>
      <c r="Q3972" s="5"/>
      <c r="R3972" s="5"/>
      <c r="S3972" s="5"/>
      <c r="T3972" s="5"/>
      <c r="U3972" s="5"/>
      <c r="V3972" s="5"/>
      <c r="W3972" s="5"/>
      <c r="X3972" s="5"/>
      <c r="Y3972" s="5"/>
      <c r="Z3972" s="5"/>
    </row>
    <row r="3973" spans="1:26" ht="15.6" x14ac:dyDescent="0.3">
      <c r="A3973" s="18" t="s">
        <v>5</v>
      </c>
      <c r="B3973" s="24" t="s">
        <v>3955</v>
      </c>
      <c r="C3973" s="2" t="str">
        <f ca="1">IFERROR(__xludf.DUMMYFUNCTION("GOOGLETRANSLATE(B3973, ""bn"", ""en"")"),"A Hindu youth was lynched to death in Lalmonirhat on allegations of blasphemy based on rumours.")</f>
        <v>A Hindu youth was lynched to death in Lalmonirhat on allegations of blasphemy based on rumours.</v>
      </c>
      <c r="D3973" s="5"/>
      <c r="E3973" s="5"/>
      <c r="F3973" s="5"/>
      <c r="G3973" s="5"/>
      <c r="H3973" s="5"/>
      <c r="I3973" s="5"/>
      <c r="J3973" s="5"/>
      <c r="K3973" s="5"/>
      <c r="L3973" s="5"/>
      <c r="M3973" s="5"/>
      <c r="N3973" s="5"/>
      <c r="O3973" s="5"/>
      <c r="P3973" s="5"/>
      <c r="Q3973" s="5"/>
      <c r="R3973" s="5"/>
      <c r="S3973" s="5"/>
      <c r="T3973" s="5"/>
      <c r="U3973" s="5"/>
      <c r="V3973" s="5"/>
      <c r="W3973" s="5"/>
      <c r="X3973" s="5"/>
      <c r="Y3973" s="5"/>
      <c r="Z3973" s="5"/>
    </row>
    <row r="3974" spans="1:26" ht="15.6" x14ac:dyDescent="0.3">
      <c r="A3974" s="18" t="s">
        <v>5</v>
      </c>
      <c r="B3974" s="24" t="s">
        <v>3956</v>
      </c>
      <c r="C3974" s="2" t="str">
        <f ca="1">IFERROR(__xludf.DUMMYFUNCTION("GOOGLETRANSLATE(B3974, ""bn"", ""en"")"),"In December 2022, a group of armed extremists attacked a Hindu temple in Phulchhari, Gaibandha, set it on fire, and hacked to death four devotees while fleeing.")</f>
        <v>In December 2022, a group of armed extremists attacked a Hindu temple in Phulchhari, Gaibandha, set it on fire, and hacked to death four devotees while fleeing.</v>
      </c>
      <c r="D3974" s="5"/>
      <c r="E3974" s="5"/>
      <c r="F3974" s="5"/>
      <c r="G3974" s="5"/>
      <c r="H3974" s="5"/>
      <c r="I3974" s="5"/>
      <c r="J3974" s="5"/>
      <c r="K3974" s="5"/>
      <c r="L3974" s="5"/>
      <c r="M3974" s="5"/>
      <c r="N3974" s="5"/>
      <c r="O3974" s="5"/>
      <c r="P3974" s="5"/>
      <c r="Q3974" s="5"/>
      <c r="R3974" s="5"/>
      <c r="S3974" s="5"/>
      <c r="T3974" s="5"/>
      <c r="U3974" s="5"/>
      <c r="V3974" s="5"/>
      <c r="W3974" s="5"/>
      <c r="X3974" s="5"/>
      <c r="Y3974" s="5"/>
      <c r="Z3974" s="5"/>
    </row>
    <row r="3975" spans="1:26" ht="15.6" x14ac:dyDescent="0.3">
      <c r="A3975" s="18" t="s">
        <v>8</v>
      </c>
      <c r="B3975" s="24" t="s">
        <v>3957</v>
      </c>
      <c r="C3975" s="2" t="str">
        <f ca="1">IFERROR(__xludf.DUMMYFUNCTION("GOOGLETRANSLATE(B3975, ""bn"", ""en"")"),"In Rangamati in March 2023, local youths, who were previously linked to allegations of religious discrimination, pelted stones in front of a Buddhist monastery and broke the windows.")</f>
        <v>In Rangamati in March 2023, local youths, who were previously linked to allegations of religious discrimination, pelted stones in front of a Buddhist monastery and broke the windows.</v>
      </c>
      <c r="D3975" s="5"/>
      <c r="E3975" s="5"/>
      <c r="F3975" s="5"/>
      <c r="G3975" s="5"/>
      <c r="H3975" s="5"/>
      <c r="I3975" s="5"/>
      <c r="J3975" s="5"/>
      <c r="K3975" s="5"/>
      <c r="L3975" s="5"/>
      <c r="M3975" s="5"/>
      <c r="N3975" s="5"/>
      <c r="O3975" s="5"/>
      <c r="P3975" s="5"/>
      <c r="Q3975" s="5"/>
      <c r="R3975" s="5"/>
      <c r="S3975" s="5"/>
      <c r="T3975" s="5"/>
      <c r="U3975" s="5"/>
      <c r="V3975" s="5"/>
      <c r="W3975" s="5"/>
      <c r="X3975" s="5"/>
      <c r="Y3975" s="5"/>
      <c r="Z3975" s="5"/>
    </row>
    <row r="3976" spans="1:26" ht="15.6" x14ac:dyDescent="0.3">
      <c r="A3976" s="18" t="s">
        <v>23</v>
      </c>
      <c r="B3976" s="24" t="s">
        <v>3958</v>
      </c>
      <c r="C3976" s="2" t="str">
        <f ca="1">IFERROR(__xludf.DUMMYFUNCTION("GOOGLETRANSLATE(B3976, ""bn"", ""en"")"),"""Those who do Durga Puja are real polytheists; Muslims should protest against these unclean rituals"" — this post has been shared thousands of times on Facebook.")</f>
        <v>"Those who do Durga Puja are real polytheists; Muslims should protest against these unclean rituals" — this post has been shared thousands of times on Facebook.</v>
      </c>
      <c r="D3976" s="5"/>
      <c r="E3976" s="5"/>
      <c r="F3976" s="5"/>
      <c r="G3976" s="5"/>
      <c r="H3976" s="5"/>
      <c r="I3976" s="5"/>
      <c r="J3976" s="5"/>
      <c r="K3976" s="5"/>
      <c r="L3976" s="5"/>
      <c r="M3976" s="5"/>
      <c r="N3976" s="5"/>
      <c r="O3976" s="5"/>
      <c r="P3976" s="5"/>
      <c r="Q3976" s="5"/>
      <c r="R3976" s="5"/>
      <c r="S3976" s="5"/>
      <c r="T3976" s="5"/>
      <c r="U3976" s="5"/>
      <c r="V3976" s="5"/>
      <c r="W3976" s="5"/>
      <c r="X3976" s="5"/>
      <c r="Y3976" s="5"/>
      <c r="Z3976" s="5"/>
    </row>
    <row r="3977" spans="1:26" ht="15.6" x14ac:dyDescent="0.3">
      <c r="A3977" s="18" t="s">
        <v>5</v>
      </c>
      <c r="B3977" s="24" t="s">
        <v>3959</v>
      </c>
      <c r="C3977" s="2" t="str">
        <f ca="1">IFERROR(__xludf.DUMMYFUNCTION("GOOGLETRANSLATE(B3977, ""bn"", ""en"")"),"In August 2021, a Christian family was attacked in Panchgarh where their house was burnt down and three members were beaten to death.")</f>
        <v>In August 2021, a Christian family was attacked in Panchgarh where their house was burnt down and three members were beaten to death.</v>
      </c>
      <c r="D3977" s="5"/>
      <c r="E3977" s="5"/>
      <c r="F3977" s="5"/>
      <c r="G3977" s="5"/>
      <c r="H3977" s="5"/>
      <c r="I3977" s="5"/>
      <c r="J3977" s="5"/>
      <c r="K3977" s="5"/>
      <c r="L3977" s="5"/>
      <c r="M3977" s="5"/>
      <c r="N3977" s="5"/>
      <c r="O3977" s="5"/>
      <c r="P3977" s="5"/>
      <c r="Q3977" s="5"/>
      <c r="R3977" s="5"/>
      <c r="S3977" s="5"/>
      <c r="T3977" s="5"/>
      <c r="U3977" s="5"/>
      <c r="V3977" s="5"/>
      <c r="W3977" s="5"/>
      <c r="X3977" s="5"/>
      <c r="Y3977" s="5"/>
      <c r="Z3977" s="5"/>
    </row>
    <row r="3978" spans="1:26" ht="15.6" x14ac:dyDescent="0.3">
      <c r="A3978" s="18" t="s">
        <v>8</v>
      </c>
      <c r="B3978" s="24" t="s">
        <v>3960</v>
      </c>
      <c r="C3978" s="2" t="str">
        <f ca="1">IFERROR(__xludf.DUMMYFUNCTION("GOOGLETRANSLATE(B3978, ""bn"", ""en"")"),"In January 2024, miscreants broke into an old church in Natore in the dead of night and vandalized benches, choir books and prayer rooms.")</f>
        <v>In January 2024, miscreants broke into an old church in Natore in the dead of night and vandalized benches, choir books and prayer rooms.</v>
      </c>
      <c r="D3978" s="5"/>
      <c r="E3978" s="5"/>
      <c r="F3978" s="5"/>
      <c r="G3978" s="5"/>
      <c r="H3978" s="5"/>
      <c r="I3978" s="5"/>
      <c r="J3978" s="5"/>
      <c r="K3978" s="5"/>
      <c r="L3978" s="5"/>
      <c r="M3978" s="5"/>
      <c r="N3978" s="5"/>
      <c r="O3978" s="5"/>
      <c r="P3978" s="5"/>
      <c r="Q3978" s="5"/>
      <c r="R3978" s="5"/>
      <c r="S3978" s="5"/>
      <c r="T3978" s="5"/>
      <c r="U3978" s="5"/>
      <c r="V3978" s="5"/>
      <c r="W3978" s="5"/>
      <c r="X3978" s="5"/>
      <c r="Y3978" s="5"/>
      <c r="Z3978" s="5"/>
    </row>
    <row r="3979" spans="1:26" ht="15.6" x14ac:dyDescent="0.3">
      <c r="A3979" s="18" t="s">
        <v>23</v>
      </c>
      <c r="B3979" s="24" t="s">
        <v>3961</v>
      </c>
      <c r="C3979" s="2" t="str">
        <f ca="1">IFERROR(__xludf.DUMMYFUNCTION("GOOGLETRANSLATE(B3979, ""bn"", ""en"")"),"“Buddhists are always conspiring against us, they have to stop trading” — comments from a YouTube video that went viral fueled religious tension.")</f>
        <v>“Buddhists are always conspiring against us, they have to stop trading” — comments from a YouTube video that went viral fueled religious tension.</v>
      </c>
      <c r="D3979" s="5"/>
      <c r="E3979" s="5"/>
      <c r="F3979" s="5"/>
      <c r="G3979" s="5"/>
      <c r="H3979" s="5"/>
      <c r="I3979" s="5"/>
      <c r="J3979" s="5"/>
      <c r="K3979" s="5"/>
      <c r="L3979" s="5"/>
      <c r="M3979" s="5"/>
      <c r="N3979" s="5"/>
      <c r="O3979" s="5"/>
      <c r="P3979" s="5"/>
      <c r="Q3979" s="5"/>
      <c r="R3979" s="5"/>
      <c r="S3979" s="5"/>
      <c r="T3979" s="5"/>
      <c r="U3979" s="5"/>
      <c r="V3979" s="5"/>
      <c r="W3979" s="5"/>
      <c r="X3979" s="5"/>
      <c r="Y3979" s="5"/>
      <c r="Z3979" s="5"/>
    </row>
    <row r="3980" spans="1:26" ht="15.6" x14ac:dyDescent="0.3">
      <c r="A3980" s="18" t="s">
        <v>5</v>
      </c>
      <c r="B3980" s="24" t="s">
        <v>3962</v>
      </c>
      <c r="C3980" s="2" t="str">
        <f ca="1">IFERROR(__xludf.DUMMYFUNCTION("GOOGLETRANSLATE(B3980, ""bn"", ""en"")"),"Six people, including two children, were killed in a cocktail explosion during a Friday prayer in Sylhet's Osmaninagar in July 2022.")</f>
        <v>Six people, including two children, were killed in a cocktail explosion during a Friday prayer in Sylhet's Osmaninagar in July 2022.</v>
      </c>
      <c r="D3980" s="5"/>
      <c r="E3980" s="5"/>
      <c r="F3980" s="5"/>
      <c r="G3980" s="5"/>
      <c r="H3980" s="5"/>
      <c r="I3980" s="5"/>
      <c r="J3980" s="5"/>
      <c r="K3980" s="5"/>
      <c r="L3980" s="5"/>
      <c r="M3980" s="5"/>
      <c r="N3980" s="5"/>
      <c r="O3980" s="5"/>
      <c r="P3980" s="5"/>
      <c r="Q3980" s="5"/>
      <c r="R3980" s="5"/>
      <c r="S3980" s="5"/>
      <c r="T3980" s="5"/>
      <c r="U3980" s="5"/>
      <c r="V3980" s="5"/>
      <c r="W3980" s="5"/>
      <c r="X3980" s="5"/>
      <c r="Y3980" s="5"/>
      <c r="Z3980" s="5"/>
    </row>
    <row r="3981" spans="1:26" ht="15.6" x14ac:dyDescent="0.3">
      <c r="A3981" s="18" t="s">
        <v>8</v>
      </c>
      <c r="B3981" s="24" t="s">
        <v>3963</v>
      </c>
      <c r="C3981" s="2" t="str">
        <f ca="1">IFERROR(__xludf.DUMMYFUNCTION("GOOGLETRANSLATE(B3981, ""bn"", ""en"")"),"In the month of October 2023, during the preparations for the dedication of the idol after the Durga Puja in Dighlia area of ​​Khulna, the idol was disfigured by sprinkling paint.")</f>
        <v>In the month of October 2023, during the preparations for the dedication of the idol after the Durga Puja in Dighlia area of ​​Khulna, the idol was disfigured by sprinkling paint.</v>
      </c>
      <c r="D3981" s="5"/>
      <c r="E3981" s="5"/>
      <c r="F3981" s="5"/>
      <c r="G3981" s="5"/>
      <c r="H3981" s="5"/>
      <c r="I3981" s="5"/>
      <c r="J3981" s="5"/>
      <c r="K3981" s="5"/>
      <c r="L3981" s="5"/>
      <c r="M3981" s="5"/>
      <c r="N3981" s="5"/>
      <c r="O3981" s="5"/>
      <c r="P3981" s="5"/>
      <c r="Q3981" s="5"/>
      <c r="R3981" s="5"/>
      <c r="S3981" s="5"/>
      <c r="T3981" s="5"/>
      <c r="U3981" s="5"/>
      <c r="V3981" s="5"/>
      <c r="W3981" s="5"/>
      <c r="X3981" s="5"/>
      <c r="Y3981" s="5"/>
      <c r="Z3981" s="5"/>
    </row>
    <row r="3982" spans="1:26" ht="15.6" x14ac:dyDescent="0.3">
      <c r="A3982" s="18" t="s">
        <v>23</v>
      </c>
      <c r="B3982" s="24" t="s">
        <v>3964</v>
      </c>
      <c r="C3982" s="2" t="str">
        <f ca="1">IFERROR(__xludf.DUMMYFUNCTION("GOOGLETRANSLATE(B3982, ""bn"", ""en"")"),"""All other religions except Islam are lies, those who follow them will go to hell"" — a teenager's comment sparked widespread religious hatred.")</f>
        <v>"All other religions except Islam are lies, those who follow them will go to hell" — a teenager's comment sparked widespread religious hatred.</v>
      </c>
      <c r="D3982" s="5"/>
      <c r="E3982" s="5"/>
      <c r="F3982" s="5"/>
      <c r="G3982" s="5"/>
      <c r="H3982" s="5"/>
      <c r="I3982" s="5"/>
      <c r="J3982" s="5"/>
      <c r="K3982" s="5"/>
      <c r="L3982" s="5"/>
      <c r="M3982" s="5"/>
      <c r="N3982" s="5"/>
      <c r="O3982" s="5"/>
      <c r="P3982" s="5"/>
      <c r="Q3982" s="5"/>
      <c r="R3982" s="5"/>
      <c r="S3982" s="5"/>
      <c r="T3982" s="5"/>
      <c r="U3982" s="5"/>
      <c r="V3982" s="5"/>
      <c r="W3982" s="5"/>
      <c r="X3982" s="5"/>
      <c r="Y3982" s="5"/>
      <c r="Z3982" s="5"/>
    </row>
    <row r="3983" spans="1:26" ht="15.6" x14ac:dyDescent="0.3">
      <c r="A3983" s="18" t="s">
        <v>8</v>
      </c>
      <c r="B3983" s="24" t="s">
        <v>3965</v>
      </c>
      <c r="C3983" s="2" t="str">
        <f ca="1">IFERROR(__xludf.DUMMYFUNCTION("GOOGLETRANSLATE(B3983, ""bn"", ""en"")"),"In June 2022, a group of youth broke the gate of a temple in Brahmanbaria's Ashuganj and smashed the idol of Mahadev.")</f>
        <v>In June 2022, a group of youth broke the gate of a temple in Brahmanbaria's Ashuganj and smashed the idol of Mahadev.</v>
      </c>
      <c r="D3983" s="5"/>
      <c r="E3983" s="5"/>
      <c r="F3983" s="5"/>
      <c r="G3983" s="5"/>
      <c r="H3983" s="5"/>
      <c r="I3983" s="5"/>
      <c r="J3983" s="5"/>
      <c r="K3983" s="5"/>
      <c r="L3983" s="5"/>
      <c r="M3983" s="5"/>
      <c r="N3983" s="5"/>
      <c r="O3983" s="5"/>
      <c r="P3983" s="5"/>
      <c r="Q3983" s="5"/>
      <c r="R3983" s="5"/>
      <c r="S3983" s="5"/>
      <c r="T3983" s="5"/>
      <c r="U3983" s="5"/>
      <c r="V3983" s="5"/>
      <c r="W3983" s="5"/>
      <c r="X3983" s="5"/>
      <c r="Y3983" s="5"/>
      <c r="Z3983" s="5"/>
    </row>
    <row r="3984" spans="1:26" ht="15.6" x14ac:dyDescent="0.3">
      <c r="A3984" s="18" t="s">
        <v>5</v>
      </c>
      <c r="B3984" s="24" t="s">
        <v>3966</v>
      </c>
      <c r="C3984" s="2" t="str">
        <f ca="1">IFERROR(__xludf.DUMMYFUNCTION("GOOGLETRANSLATE(B3984, ""bn"", ""en"")"),"Two Buddhist monks were killed and five others were seriously injured when a bomb exploded in a Buddhist monastery in Dinajpur in November 2020.")</f>
        <v>Two Buddhist monks were killed and five others were seriously injured when a bomb exploded in a Buddhist monastery in Dinajpur in November 2020.</v>
      </c>
      <c r="D3984" s="5"/>
      <c r="E3984" s="5"/>
      <c r="F3984" s="5"/>
      <c r="G3984" s="5"/>
      <c r="H3984" s="5"/>
      <c r="I3984" s="5"/>
      <c r="J3984" s="5"/>
      <c r="K3984" s="5"/>
      <c r="L3984" s="5"/>
      <c r="M3984" s="5"/>
      <c r="N3984" s="5"/>
      <c r="O3984" s="5"/>
      <c r="P3984" s="5"/>
      <c r="Q3984" s="5"/>
      <c r="R3984" s="5"/>
      <c r="S3984" s="5"/>
      <c r="T3984" s="5"/>
      <c r="U3984" s="5"/>
      <c r="V3984" s="5"/>
      <c r="W3984" s="5"/>
      <c r="X3984" s="5"/>
      <c r="Y3984" s="5"/>
      <c r="Z3984" s="5"/>
    </row>
    <row r="3985" spans="1:26" ht="15.6" x14ac:dyDescent="0.3">
      <c r="A3985" s="18" t="s">
        <v>23</v>
      </c>
      <c r="B3985" s="24" t="s">
        <v>3967</v>
      </c>
      <c r="C3985" s="2" t="str">
        <f ca="1">IFERROR(__xludf.DUMMYFUNCTION("GOOGLETRANSLATE(B3985, ""bn"", ""en"")"),"“Educating Christians in schools means apostasizing children” — such religious propaganda spreads on social media.")</f>
        <v>“Educating Christians in schools means apostasizing children” — such religious propaganda spreads on social media.</v>
      </c>
      <c r="D3985" s="5"/>
      <c r="E3985" s="5"/>
      <c r="F3985" s="5"/>
      <c r="G3985" s="5"/>
      <c r="H3985" s="5"/>
      <c r="I3985" s="5"/>
      <c r="J3985" s="5"/>
      <c r="K3985" s="5"/>
      <c r="L3985" s="5"/>
      <c r="M3985" s="5"/>
      <c r="N3985" s="5"/>
      <c r="O3985" s="5"/>
      <c r="P3985" s="5"/>
      <c r="Q3985" s="5"/>
      <c r="R3985" s="5"/>
      <c r="S3985" s="5"/>
      <c r="T3985" s="5"/>
      <c r="U3985" s="5"/>
      <c r="V3985" s="5"/>
      <c r="W3985" s="5"/>
      <c r="X3985" s="5"/>
      <c r="Y3985" s="5"/>
      <c r="Z3985" s="5"/>
    </row>
    <row r="3986" spans="1:26" ht="15.6" x14ac:dyDescent="0.3">
      <c r="A3986" s="18" t="s">
        <v>8</v>
      </c>
      <c r="B3986" s="24" t="s">
        <v>3968</v>
      </c>
      <c r="C3986" s="2" t="str">
        <f ca="1">IFERROR(__xludf.DUMMYFUNCTION("GOOGLETRANSLATE(B3986, ""bn"", ""en"")"),"In February 2024 miscreants tore down the signboard of a Christian church in Tangail's Ghatail and hung obscene posters on the gate.")</f>
        <v>In February 2024 miscreants tore down the signboard of a Christian church in Tangail's Ghatail and hung obscene posters on the gate.</v>
      </c>
      <c r="D3986" s="5"/>
      <c r="E3986" s="5"/>
      <c r="F3986" s="5"/>
      <c r="G3986" s="5"/>
      <c r="H3986" s="5"/>
      <c r="I3986" s="5"/>
      <c r="J3986" s="5"/>
      <c r="K3986" s="5"/>
      <c r="L3986" s="5"/>
      <c r="M3986" s="5"/>
      <c r="N3986" s="5"/>
      <c r="O3986" s="5"/>
      <c r="P3986" s="5"/>
      <c r="Q3986" s="5"/>
      <c r="R3986" s="5"/>
      <c r="S3986" s="5"/>
      <c r="T3986" s="5"/>
      <c r="U3986" s="5"/>
      <c r="V3986" s="5"/>
      <c r="W3986" s="5"/>
      <c r="X3986" s="5"/>
      <c r="Y3986" s="5"/>
      <c r="Z3986" s="5"/>
    </row>
    <row r="3987" spans="1:26" ht="15.6" x14ac:dyDescent="0.3">
      <c r="A3987" s="18" t="s">
        <v>5</v>
      </c>
      <c r="B3987" s="24" t="s">
        <v>3969</v>
      </c>
      <c r="C3987" s="2" t="str">
        <f ca="1">IFERROR(__xludf.DUMMYFUNCTION("GOOGLETRANSLATE(B3987, ""bn"", ""en"")"),"In May 2021, a radicalized youth entered a religious place of worship in Netrakona and shot dead five people before escaping.")</f>
        <v>In May 2021, a radicalized youth entered a religious place of worship in Netrakona and shot dead five people before escaping.</v>
      </c>
      <c r="D3987" s="5"/>
      <c r="E3987" s="5"/>
      <c r="F3987" s="5"/>
      <c r="G3987" s="5"/>
      <c r="H3987" s="5"/>
      <c r="I3987" s="5"/>
      <c r="J3987" s="5"/>
      <c r="K3987" s="5"/>
      <c r="L3987" s="5"/>
      <c r="M3987" s="5"/>
      <c r="N3987" s="5"/>
      <c r="O3987" s="5"/>
      <c r="P3987" s="5"/>
      <c r="Q3987" s="5"/>
      <c r="R3987" s="5"/>
      <c r="S3987" s="5"/>
      <c r="T3987" s="5"/>
      <c r="U3987" s="5"/>
      <c r="V3987" s="5"/>
      <c r="W3987" s="5"/>
      <c r="X3987" s="5"/>
      <c r="Y3987" s="5"/>
      <c r="Z3987" s="5"/>
    </row>
    <row r="3988" spans="1:26" ht="15.6" x14ac:dyDescent="0.3">
      <c r="A3988" s="18" t="s">
        <v>23</v>
      </c>
      <c r="B3988" s="24" t="s">
        <v>3970</v>
      </c>
      <c r="C3988" s="2" t="str">
        <f ca="1">IFERROR(__xludf.DUMMYFUNCTION("GOOGLETRANSLATE(B3988, ""bn"", ""en"")"),"""Hindus are ruining our state, boycott them"" — a Facebook page of a social movement urged.")</f>
        <v>"Hindus are ruining our state, boycott them" — a Facebook page of a social movement urged.</v>
      </c>
      <c r="D3988" s="5"/>
      <c r="E3988" s="5"/>
      <c r="F3988" s="5"/>
      <c r="G3988" s="5"/>
      <c r="H3988" s="5"/>
      <c r="I3988" s="5"/>
      <c r="J3988" s="5"/>
      <c r="K3988" s="5"/>
      <c r="L3988" s="5"/>
      <c r="M3988" s="5"/>
      <c r="N3988" s="5"/>
      <c r="O3988" s="5"/>
      <c r="P3988" s="5"/>
      <c r="Q3988" s="5"/>
      <c r="R3988" s="5"/>
      <c r="S3988" s="5"/>
      <c r="T3988" s="5"/>
      <c r="U3988" s="5"/>
      <c r="V3988" s="5"/>
      <c r="W3988" s="5"/>
      <c r="X3988" s="5"/>
      <c r="Y3988" s="5"/>
      <c r="Z3988" s="5"/>
    </row>
    <row r="3989" spans="1:26" ht="15.6" x14ac:dyDescent="0.3">
      <c r="A3989" s="18" t="s">
        <v>8</v>
      </c>
      <c r="B3989" s="24" t="s">
        <v>3971</v>
      </c>
      <c r="C3989" s="2" t="str">
        <f ca="1">IFERROR(__xludf.DUMMYFUNCTION("GOOGLETRANSLATE(B3989, ""bn"", ""en"")"),"In Lalmonirhat, in September 2023, obscene anti-religious images were painted on the walls of a mosque, sparking outrage among locals.")</f>
        <v>In Lalmonirhat, in September 2023, obscene anti-religious images were painted on the walls of a mosque, sparking outrage among locals.</v>
      </c>
      <c r="D3989" s="5"/>
      <c r="E3989" s="5"/>
      <c r="F3989" s="5"/>
      <c r="G3989" s="5"/>
      <c r="H3989" s="5"/>
      <c r="I3989" s="5"/>
      <c r="J3989" s="5"/>
      <c r="K3989" s="5"/>
      <c r="L3989" s="5"/>
      <c r="M3989" s="5"/>
      <c r="N3989" s="5"/>
      <c r="O3989" s="5"/>
      <c r="P3989" s="5"/>
      <c r="Q3989" s="5"/>
      <c r="R3989" s="5"/>
      <c r="S3989" s="5"/>
      <c r="T3989" s="5"/>
      <c r="U3989" s="5"/>
      <c r="V3989" s="5"/>
      <c r="W3989" s="5"/>
      <c r="X3989" s="5"/>
      <c r="Y3989" s="5"/>
      <c r="Z3989" s="5"/>
    </row>
    <row r="3990" spans="1:26" ht="15.6" x14ac:dyDescent="0.3">
      <c r="A3990" s="18" t="s">
        <v>5</v>
      </c>
      <c r="B3990" s="24" t="s">
        <v>3972</v>
      </c>
      <c r="C3990" s="2" t="str">
        <f ca="1">IFERROR(__xludf.DUMMYFUNCTION("GOOGLETRANSLATE(B3990, ""bn"", ""en"")"),"In January 2024, a group of masked Hindu worshipers hacked to death and set fire to the temple during a religious ceremony at Chakaria in Cox's Bazar.")</f>
        <v>In January 2024, a group of masked Hindu worshipers hacked to death and set fire to the temple during a religious ceremony at Chakaria in Cox's Bazar.</v>
      </c>
      <c r="D3990" s="5"/>
      <c r="E3990" s="5"/>
      <c r="F3990" s="5"/>
      <c r="G3990" s="5"/>
      <c r="H3990" s="5"/>
      <c r="I3990" s="5"/>
      <c r="J3990" s="5"/>
      <c r="K3990" s="5"/>
      <c r="L3990" s="5"/>
      <c r="M3990" s="5"/>
      <c r="N3990" s="5"/>
      <c r="O3990" s="5"/>
      <c r="P3990" s="5"/>
      <c r="Q3990" s="5"/>
      <c r="R3990" s="5"/>
      <c r="S3990" s="5"/>
      <c r="T3990" s="5"/>
      <c r="U3990" s="5"/>
      <c r="V3990" s="5"/>
      <c r="W3990" s="5"/>
      <c r="X3990" s="5"/>
      <c r="Y3990" s="5"/>
      <c r="Z3990" s="5"/>
    </row>
    <row r="3991" spans="1:26" ht="15.6" x14ac:dyDescent="0.3">
      <c r="A3991" s="18" t="s">
        <v>8</v>
      </c>
      <c r="B3991" s="24" t="s">
        <v>3973</v>
      </c>
      <c r="C3991" s="2" t="str">
        <f ca="1">IFERROR(__xludf.DUMMYFUNCTION("GOOGLETRANSLATE(B3991, ""bn"", ""en"")"),"In Chapainawabganj in December 2023, a group of young Hindus entered the village, broke the idol of Radhakrishna and ran away after abusing it.")</f>
        <v>In Chapainawabganj in December 2023, a group of young Hindus entered the village, broke the idol of Radhakrishna and ran away after abusing it.</v>
      </c>
      <c r="D3991" s="5"/>
      <c r="E3991" s="5"/>
      <c r="F3991" s="5"/>
      <c r="G3991" s="5"/>
      <c r="H3991" s="5"/>
      <c r="I3991" s="5"/>
      <c r="J3991" s="5"/>
      <c r="K3991" s="5"/>
      <c r="L3991" s="5"/>
      <c r="M3991" s="5"/>
      <c r="N3991" s="5"/>
      <c r="O3991" s="5"/>
      <c r="P3991" s="5"/>
      <c r="Q3991" s="5"/>
      <c r="R3991" s="5"/>
      <c r="S3991" s="5"/>
      <c r="T3991" s="5"/>
      <c r="U3991" s="5"/>
      <c r="V3991" s="5"/>
      <c r="W3991" s="5"/>
      <c r="X3991" s="5"/>
      <c r="Y3991" s="5"/>
      <c r="Z3991" s="5"/>
    </row>
    <row r="3992" spans="1:26" ht="15.6" x14ac:dyDescent="0.3">
      <c r="A3992" s="18" t="s">
        <v>5</v>
      </c>
      <c r="B3992" s="24" t="s">
        <v>3974</v>
      </c>
      <c r="C3992" s="2" t="str">
        <f ca="1">IFERROR(__xludf.DUMMYFUNCTION("GOOGLETRANSLATE(B3992, ""bn"", ""en"")"),"In April 2020, four people were shot dead and 6 others injured in an attack on a Christian community prayer meeting in Bandarban.")</f>
        <v>In April 2020, four people were shot dead and 6 others injured in an attack on a Christian community prayer meeting in Bandarban.</v>
      </c>
      <c r="D3992" s="5"/>
      <c r="E3992" s="5"/>
      <c r="F3992" s="5"/>
      <c r="G3992" s="5"/>
      <c r="H3992" s="5"/>
      <c r="I3992" s="5"/>
      <c r="J3992" s="5"/>
      <c r="K3992" s="5"/>
      <c r="L3992" s="5"/>
      <c r="M3992" s="5"/>
      <c r="N3992" s="5"/>
      <c r="O3992" s="5"/>
      <c r="P3992" s="5"/>
      <c r="Q3992" s="5"/>
      <c r="R3992" s="5"/>
      <c r="S3992" s="5"/>
      <c r="T3992" s="5"/>
      <c r="U3992" s="5"/>
      <c r="V3992" s="5"/>
      <c r="W3992" s="5"/>
      <c r="X3992" s="5"/>
      <c r="Y3992" s="5"/>
      <c r="Z3992" s="5"/>
    </row>
    <row r="3993" spans="1:26" ht="15.6" x14ac:dyDescent="0.3">
      <c r="A3993" s="18" t="s">
        <v>23</v>
      </c>
      <c r="B3993" s="24" t="s">
        <v>3975</v>
      </c>
      <c r="C3993" s="2" t="str">
        <f ca="1">IFERROR(__xludf.DUMMYFUNCTION("GOOGLETRANSLATE(B3993, ""bn"", ""en"")"),"“Muslims who participate in Durga Puja, have left Islam” — a statement by a popular religious speaker went viral online.")</f>
        <v>“Muslims who participate in Durga Puja, have left Islam” — a statement by a popular religious speaker went viral online.</v>
      </c>
      <c r="D3993" s="5"/>
      <c r="E3993" s="5"/>
      <c r="F3993" s="5"/>
      <c r="G3993" s="5"/>
      <c r="H3993" s="5"/>
      <c r="I3993" s="5"/>
      <c r="J3993" s="5"/>
      <c r="K3993" s="5"/>
      <c r="L3993" s="5"/>
      <c r="M3993" s="5"/>
      <c r="N3993" s="5"/>
      <c r="O3993" s="5"/>
      <c r="P3993" s="5"/>
      <c r="Q3993" s="5"/>
      <c r="R3993" s="5"/>
      <c r="S3993" s="5"/>
      <c r="T3993" s="5"/>
      <c r="U3993" s="5"/>
      <c r="V3993" s="5"/>
      <c r="W3993" s="5"/>
      <c r="X3993" s="5"/>
      <c r="Y3993" s="5"/>
      <c r="Z3993" s="5"/>
    </row>
    <row r="3994" spans="1:26" ht="15.6" x14ac:dyDescent="0.3">
      <c r="A3994" s="18" t="s">
        <v>8</v>
      </c>
      <c r="B3994" s="24" t="s">
        <v>3976</v>
      </c>
      <c r="C3994" s="2" t="str">
        <f ca="1">IFERROR(__xludf.DUMMYFUNCTION("GOOGLETRANSLATE(B3994, ""bn"", ""en"")"),"In April 2023, miscreants, who later spread rumors in the area that it was an 'illegal structure', demolished the roof of a small temple built next to a Hindu family's house in Jamalpur.")</f>
        <v>In April 2023, miscreants, who later spread rumors in the area that it was an 'illegal structure', demolished the roof of a small temple built next to a Hindu family's house in Jamalpur.</v>
      </c>
      <c r="D3994" s="5"/>
      <c r="E3994" s="5"/>
      <c r="F3994" s="5"/>
      <c r="G3994" s="5"/>
      <c r="H3994" s="5"/>
      <c r="I3994" s="5"/>
      <c r="J3994" s="5"/>
      <c r="K3994" s="5"/>
      <c r="L3994" s="5"/>
      <c r="M3994" s="5"/>
      <c r="N3994" s="5"/>
      <c r="O3994" s="5"/>
      <c r="P3994" s="5"/>
      <c r="Q3994" s="5"/>
      <c r="R3994" s="5"/>
      <c r="S3994" s="5"/>
      <c r="T3994" s="5"/>
      <c r="U3994" s="5"/>
      <c r="V3994" s="5"/>
      <c r="W3994" s="5"/>
      <c r="X3994" s="5"/>
      <c r="Y3994" s="5"/>
      <c r="Z3994" s="5"/>
    </row>
    <row r="3995" spans="1:26" ht="15.6" x14ac:dyDescent="0.3">
      <c r="A3995" s="18" t="s">
        <v>23</v>
      </c>
      <c r="B3995" s="24" t="s">
        <v>3977</v>
      </c>
      <c r="C3995" s="2" t="str">
        <f ca="1">IFERROR(__xludf.DUMMYFUNCTION("GOOGLETRANSLATE(B3995, ""bn"", ""en"")"),"""Christians in Bangladesh change religion only to find foreign donors"" - commented a YouTuber in a video insulting the entire community.")</f>
        <v>"Christians in Bangladesh change religion only to find foreign donors" - commented a YouTuber in a video insulting the entire community.</v>
      </c>
      <c r="D3995" s="5"/>
      <c r="E3995" s="5"/>
      <c r="F3995" s="5"/>
      <c r="G3995" s="5"/>
      <c r="H3995" s="5"/>
      <c r="I3995" s="5"/>
      <c r="J3995" s="5"/>
      <c r="K3995" s="5"/>
      <c r="L3995" s="5"/>
      <c r="M3995" s="5"/>
      <c r="N3995" s="5"/>
      <c r="O3995" s="5"/>
      <c r="P3995" s="5"/>
      <c r="Q3995" s="5"/>
      <c r="R3995" s="5"/>
      <c r="S3995" s="5"/>
      <c r="T3995" s="5"/>
      <c r="U3995" s="5"/>
      <c r="V3995" s="5"/>
      <c r="W3995" s="5"/>
      <c r="X3995" s="5"/>
      <c r="Y3995" s="5"/>
      <c r="Z3995" s="5"/>
    </row>
    <row r="3996" spans="1:26" ht="15.6" x14ac:dyDescent="0.3">
      <c r="A3996" s="18" t="s">
        <v>5</v>
      </c>
      <c r="B3996" s="24" t="s">
        <v>3978</v>
      </c>
      <c r="C3996" s="2" t="str">
        <f ca="1">IFERROR(__xludf.DUMMYFUNCTION("GOOGLETRANSLATE(B3996, ""bn"", ""en"")"),"In December 2021, a converted Muslim youth was burnt to death in his house on charges of desecration in Kushtia.")</f>
        <v>In December 2021, a converted Muslim youth was burnt to death in his house on charges of desecration in Kushtia.</v>
      </c>
      <c r="D3996" s="5"/>
      <c r="E3996" s="5"/>
      <c r="F3996" s="5"/>
      <c r="G3996" s="5"/>
      <c r="H3996" s="5"/>
      <c r="I3996" s="5"/>
      <c r="J3996" s="5"/>
      <c r="K3996" s="5"/>
      <c r="L3996" s="5"/>
      <c r="M3996" s="5"/>
      <c r="N3996" s="5"/>
      <c r="O3996" s="5"/>
      <c r="P3996" s="5"/>
      <c r="Q3996" s="5"/>
      <c r="R3996" s="5"/>
      <c r="S3996" s="5"/>
      <c r="T3996" s="5"/>
      <c r="U3996" s="5"/>
      <c r="V3996" s="5"/>
      <c r="W3996" s="5"/>
      <c r="X3996" s="5"/>
      <c r="Y3996" s="5"/>
      <c r="Z3996" s="5"/>
    </row>
    <row r="3997" spans="1:26" ht="15.6" x14ac:dyDescent="0.3">
      <c r="A3997" s="18" t="s">
        <v>8</v>
      </c>
      <c r="B3997" s="24" t="s">
        <v>3979</v>
      </c>
      <c r="C3997" s="2" t="str">
        <f ca="1">IFERROR(__xludf.DUMMYFUNCTION("GOOGLETRANSLATE(B3997, ""bn"", ""en"")"),"In July 2024, some miscreants entered the temple and vandalized the sound system and cover in Nandale, Mymensingh.")</f>
        <v>In July 2024, some miscreants entered the temple and vandalized the sound system and cover in Nandale, Mymensingh.</v>
      </c>
      <c r="D3997" s="5"/>
      <c r="E3997" s="5"/>
      <c r="F3997" s="5"/>
      <c r="G3997" s="5"/>
      <c r="H3997" s="5"/>
      <c r="I3997" s="5"/>
      <c r="J3997" s="5"/>
      <c r="K3997" s="5"/>
      <c r="L3997" s="5"/>
      <c r="M3997" s="5"/>
      <c r="N3997" s="5"/>
      <c r="O3997" s="5"/>
      <c r="P3997" s="5"/>
      <c r="Q3997" s="5"/>
      <c r="R3997" s="5"/>
      <c r="S3997" s="5"/>
      <c r="T3997" s="5"/>
      <c r="U3997" s="5"/>
      <c r="V3997" s="5"/>
      <c r="W3997" s="5"/>
      <c r="X3997" s="5"/>
      <c r="Y3997" s="5"/>
      <c r="Z3997" s="5"/>
    </row>
    <row r="3998" spans="1:26" ht="15.6" x14ac:dyDescent="0.3">
      <c r="A3998" s="18" t="s">
        <v>23</v>
      </c>
      <c r="B3998" s="24" t="s">
        <v>3980</v>
      </c>
      <c r="C3998" s="2" t="str">
        <f ca="1">IFERROR(__xludf.DUMMYFUNCTION("GOOGLETRANSLATE(B3998, ""bn"", ""en"")"),"""Those who go to the Buddhist temple and donate, are insulting their own religion"" - such a status goes viral on social media.")</f>
        <v>"Those who go to the Buddhist temple and donate, are insulting their own religion" - such a status goes viral on social media.</v>
      </c>
      <c r="D3998" s="5"/>
      <c r="E3998" s="5"/>
      <c r="F3998" s="5"/>
      <c r="G3998" s="5"/>
      <c r="H3998" s="5"/>
      <c r="I3998" s="5"/>
      <c r="J3998" s="5"/>
      <c r="K3998" s="5"/>
      <c r="L3998" s="5"/>
      <c r="M3998" s="5"/>
      <c r="N3998" s="5"/>
      <c r="O3998" s="5"/>
      <c r="P3998" s="5"/>
      <c r="Q3998" s="5"/>
      <c r="R3998" s="5"/>
      <c r="S3998" s="5"/>
      <c r="T3998" s="5"/>
      <c r="U3998" s="5"/>
      <c r="V3998" s="5"/>
      <c r="W3998" s="5"/>
      <c r="X3998" s="5"/>
      <c r="Y3998" s="5"/>
      <c r="Z3998" s="5"/>
    </row>
    <row r="3999" spans="1:26" ht="15.6" x14ac:dyDescent="0.3">
      <c r="A3999" s="18" t="s">
        <v>5</v>
      </c>
      <c r="B3999" s="24" t="s">
        <v>3981</v>
      </c>
      <c r="C3999" s="2" t="str">
        <f ca="1">IFERROR(__xludf.DUMMYFUNCTION("GOOGLETRANSLATE(B3999, ""bn"", ""en"")"),"In June 2022, a group of militants entered a church ceremony in Daulatkhan in Bhola district and opened fire, killing three and injuring five.")</f>
        <v>In June 2022, a group of militants entered a church ceremony in Daulatkhan in Bhola district and opened fire, killing three and injuring five.</v>
      </c>
      <c r="D3999" s="5"/>
      <c r="E3999" s="5"/>
      <c r="F3999" s="5"/>
      <c r="G3999" s="5"/>
      <c r="H3999" s="5"/>
      <c r="I3999" s="5"/>
      <c r="J3999" s="5"/>
      <c r="K3999" s="5"/>
      <c r="L3999" s="5"/>
      <c r="M3999" s="5"/>
      <c r="N3999" s="5"/>
      <c r="O3999" s="5"/>
      <c r="P3999" s="5"/>
      <c r="Q3999" s="5"/>
      <c r="R3999" s="5"/>
      <c r="S3999" s="5"/>
      <c r="T3999" s="5"/>
      <c r="U3999" s="5"/>
      <c r="V3999" s="5"/>
      <c r="W3999" s="5"/>
      <c r="X3999" s="5"/>
      <c r="Y3999" s="5"/>
      <c r="Z3999" s="5"/>
    </row>
    <row r="4000" spans="1:26" ht="15.6" x14ac:dyDescent="0.3">
      <c r="A4000" s="18" t="s">
        <v>8</v>
      </c>
      <c r="B4000" s="24" t="s">
        <v>3982</v>
      </c>
      <c r="C4000" s="2" t="str">
        <f ca="1">IFERROR(__xludf.DUMMYFUNCTION("GOOGLETRANSLATE(B4000, ""bn"", ""en"")"),"Miscreants, who had been threatening earlier, vandalized the windows and altar of an old church in Roujan, Chittagong.")</f>
        <v>Miscreants, who had been threatening earlier, vandalized the windows and altar of an old church in Roujan, Chittagong.</v>
      </c>
      <c r="D4000" s="5"/>
      <c r="E4000" s="5"/>
      <c r="F4000" s="5"/>
      <c r="G4000" s="5"/>
      <c r="H4000" s="5"/>
      <c r="I4000" s="5"/>
      <c r="J4000" s="5"/>
      <c r="K4000" s="5"/>
      <c r="L4000" s="5"/>
      <c r="M4000" s="5"/>
      <c r="N4000" s="5"/>
      <c r="O4000" s="5"/>
      <c r="P4000" s="5"/>
      <c r="Q4000" s="5"/>
      <c r="R4000" s="5"/>
      <c r="S4000" s="5"/>
      <c r="T4000" s="5"/>
      <c r="U4000" s="5"/>
      <c r="V4000" s="5"/>
      <c r="W4000" s="5"/>
      <c r="X4000" s="5"/>
      <c r="Y4000" s="5"/>
      <c r="Z4000" s="5"/>
    </row>
    <row r="4001" spans="1:26" ht="15.6" x14ac:dyDescent="0.3">
      <c r="A4001" s="18" t="s">
        <v>23</v>
      </c>
      <c r="B4001" s="24" t="s">
        <v>3983</v>
      </c>
      <c r="C4001" s="2" t="str">
        <f ca="1">IFERROR(__xludf.DUMMYFUNCTION("GOOGLETRANSLATE(B4001, ""bn"", ""en"")"),"""The food of Hindus is not holy, eating their cooking destroys faith"" - such a statement was said publicly in a madrasa waj mahfil.")</f>
        <v>"The food of Hindus is not holy, eating their cooking destroys faith" - such a statement was said publicly in a madrasa waj mahfil.</v>
      </c>
      <c r="D4001" s="5"/>
      <c r="E4001" s="5"/>
      <c r="F4001" s="5"/>
      <c r="G4001" s="5"/>
      <c r="H4001" s="5"/>
      <c r="I4001" s="5"/>
      <c r="J4001" s="5"/>
      <c r="K4001" s="5"/>
      <c r="L4001" s="5"/>
      <c r="M4001" s="5"/>
      <c r="N4001" s="5"/>
      <c r="O4001" s="5"/>
      <c r="P4001" s="5"/>
      <c r="Q4001" s="5"/>
      <c r="R4001" s="5"/>
      <c r="S4001" s="5"/>
      <c r="T4001" s="5"/>
      <c r="U4001" s="5"/>
      <c r="V4001" s="5"/>
      <c r="W4001" s="5"/>
      <c r="X4001" s="5"/>
      <c r="Y4001" s="5"/>
      <c r="Z4001" s="5"/>
    </row>
    <row r="4002" spans="1:26" ht="15.6" x14ac:dyDescent="0.3">
      <c r="A4002" s="18" t="s">
        <v>5</v>
      </c>
      <c r="B4002" s="24" t="s">
        <v>3984</v>
      </c>
      <c r="C4002" s="2" t="str">
        <f ca="1">IFERROR(__xludf.DUMMYFUNCTION("GOOGLETRANSLATE(B4002, ""bn"", ""en"")"),"In January 2023, during a religious seminar at Delduar in Tangail, assailants hurled petrol bombs and set fire to the temple, killing at least 6 people.")</f>
        <v>In January 2023, during a religious seminar at Delduar in Tangail, assailants hurled petrol bombs and set fire to the temple, killing at least 6 people.</v>
      </c>
      <c r="D4002" s="5"/>
      <c r="E4002" s="5"/>
      <c r="F4002" s="5"/>
      <c r="G4002" s="5"/>
      <c r="H4002" s="5"/>
      <c r="I4002" s="5"/>
      <c r="J4002" s="5"/>
      <c r="K4002" s="5"/>
      <c r="L4002" s="5"/>
      <c r="M4002" s="5"/>
      <c r="N4002" s="5"/>
      <c r="O4002" s="5"/>
      <c r="P4002" s="5"/>
      <c r="Q4002" s="5"/>
      <c r="R4002" s="5"/>
      <c r="S4002" s="5"/>
      <c r="T4002" s="5"/>
      <c r="U4002" s="5"/>
      <c r="V4002" s="5"/>
      <c r="W4002" s="5"/>
      <c r="X4002" s="5"/>
      <c r="Y4002" s="5"/>
      <c r="Z4002" s="5"/>
    </row>
    <row r="4003" spans="1:26" ht="15.6" x14ac:dyDescent="0.3">
      <c r="A4003" s="18" t="s">
        <v>8</v>
      </c>
      <c r="B4003" s="24" t="s">
        <v>3985</v>
      </c>
      <c r="C4003" s="2" t="str">
        <f ca="1">IFERROR(__xludf.DUMMYFUNCTION("GOOGLETRANSLATE(B4003, ""bn"", ""en"")"),"In February 2024, Bible books of a small Christian synagogue in Kurigram were thrown into a pond and the sound box was torn apart and destroyed.")</f>
        <v>In February 2024, Bible books of a small Christian synagogue in Kurigram were thrown into a pond and the sound box was torn apart and destroyed.</v>
      </c>
      <c r="D4003" s="5"/>
      <c r="E4003" s="5"/>
      <c r="F4003" s="5"/>
      <c r="G4003" s="5"/>
      <c r="H4003" s="5"/>
      <c r="I4003" s="5"/>
      <c r="J4003" s="5"/>
      <c r="K4003" s="5"/>
      <c r="L4003" s="5"/>
      <c r="M4003" s="5"/>
      <c r="N4003" s="5"/>
      <c r="O4003" s="5"/>
      <c r="P4003" s="5"/>
      <c r="Q4003" s="5"/>
      <c r="R4003" s="5"/>
      <c r="S4003" s="5"/>
      <c r="T4003" s="5"/>
      <c r="U4003" s="5"/>
      <c r="V4003" s="5"/>
      <c r="W4003" s="5"/>
      <c r="X4003" s="5"/>
      <c r="Y4003" s="5"/>
      <c r="Z4003" s="5"/>
    </row>
    <row r="4004" spans="1:26" ht="15.6" x14ac:dyDescent="0.3">
      <c r="A4004" s="18" t="s">
        <v>23</v>
      </c>
      <c r="B4004" s="24" t="s">
        <v>3986</v>
      </c>
      <c r="C4004" s="2" t="str">
        <f ca="1">IFERROR(__xludf.DUMMYFUNCTION("GOOGLETRANSLATE(B4004, ""bn"", ""en"")"),"""Playing Hindu songs on Jumma is a mockery of Islam"" - a campaign was launched against Hindu shopkeepers on social media.")</f>
        <v>"Playing Hindu songs on Jumma is a mockery of Islam" - a campaign was launched against Hindu shopkeepers on social media.</v>
      </c>
      <c r="D4004" s="5"/>
      <c r="E4004" s="5"/>
      <c r="F4004" s="5"/>
      <c r="G4004" s="5"/>
      <c r="H4004" s="5"/>
      <c r="I4004" s="5"/>
      <c r="J4004" s="5"/>
      <c r="K4004" s="5"/>
      <c r="L4004" s="5"/>
      <c r="M4004" s="5"/>
      <c r="N4004" s="5"/>
      <c r="O4004" s="5"/>
      <c r="P4004" s="5"/>
      <c r="Q4004" s="5"/>
      <c r="R4004" s="5"/>
      <c r="S4004" s="5"/>
      <c r="T4004" s="5"/>
      <c r="U4004" s="5"/>
      <c r="V4004" s="5"/>
      <c r="W4004" s="5"/>
      <c r="X4004" s="5"/>
      <c r="Y4004" s="5"/>
      <c r="Z4004" s="5"/>
    </row>
    <row r="4005" spans="1:26" ht="15.6" x14ac:dyDescent="0.3">
      <c r="A4005" s="18" t="s">
        <v>5</v>
      </c>
      <c r="B4005" s="24" t="s">
        <v>3987</v>
      </c>
      <c r="C4005" s="2" t="str">
        <f ca="1">IFERROR(__xludf.DUMMYFUNCTION("GOOGLETRANSLATE(B4005, ""bn"", ""en"")"),"In November 2022, a Buddhist monk was found alone on the street and hacked to death in Habiganj and the attackers chanted religious slogans after the incident.")</f>
        <v>In November 2022, a Buddhist monk was found alone on the street and hacked to death in Habiganj and the attackers chanted religious slogans after the incident.</v>
      </c>
      <c r="D4005" s="5"/>
      <c r="E4005" s="5"/>
      <c r="F4005" s="5"/>
      <c r="G4005" s="5"/>
      <c r="H4005" s="5"/>
      <c r="I4005" s="5"/>
      <c r="J4005" s="5"/>
      <c r="K4005" s="5"/>
      <c r="L4005" s="5"/>
      <c r="M4005" s="5"/>
      <c r="N4005" s="5"/>
      <c r="O4005" s="5"/>
      <c r="P4005" s="5"/>
      <c r="Q4005" s="5"/>
      <c r="R4005" s="5"/>
      <c r="S4005" s="5"/>
      <c r="T4005" s="5"/>
      <c r="U4005" s="5"/>
      <c r="V4005" s="5"/>
      <c r="W4005" s="5"/>
      <c r="X4005" s="5"/>
      <c r="Y4005" s="5"/>
      <c r="Z4005" s="5"/>
    </row>
    <row r="4006" spans="1:26" ht="15.6" x14ac:dyDescent="0.3">
      <c r="A4006" s="18" t="s">
        <v>8</v>
      </c>
      <c r="B4006" s="24" t="s">
        <v>3988</v>
      </c>
      <c r="C4006" s="2" t="str">
        <f ca="1">IFERROR(__xludf.DUMMYFUNCTION("GOOGLETRANSLATE(B4006, ""bn"", ""en"")"),"In Barguna in May 2023 miscreants entered a Durga Puja mandap late at night and broke the idol's arms and legs.")</f>
        <v>In Barguna in May 2023 miscreants entered a Durga Puja mandap late at night and broke the idol's arms and legs.</v>
      </c>
      <c r="D4006" s="5"/>
      <c r="E4006" s="5"/>
      <c r="F4006" s="5"/>
      <c r="G4006" s="5"/>
      <c r="H4006" s="5"/>
      <c r="I4006" s="5"/>
      <c r="J4006" s="5"/>
      <c r="K4006" s="5"/>
      <c r="L4006" s="5"/>
      <c r="M4006" s="5"/>
      <c r="N4006" s="5"/>
      <c r="O4006" s="5"/>
      <c r="P4006" s="5"/>
      <c r="Q4006" s="5"/>
      <c r="R4006" s="5"/>
      <c r="S4006" s="5"/>
      <c r="T4006" s="5"/>
      <c r="U4006" s="5"/>
      <c r="V4006" s="5"/>
      <c r="W4006" s="5"/>
      <c r="X4006" s="5"/>
      <c r="Y4006" s="5"/>
      <c r="Z4006" s="5"/>
    </row>
    <row r="4007" spans="1:26" ht="15.6" x14ac:dyDescent="0.3">
      <c r="A4007" s="18" t="s">
        <v>23</v>
      </c>
      <c r="B4007" s="24" t="s">
        <v>3989</v>
      </c>
      <c r="C4007" s="2" t="str">
        <f ca="1">IFERROR(__xludf.DUMMYFUNCTION("GOOGLETRANSLATE(B4007, ""bn"", ""en"")"),"""Those who pray in church, they are enemies of Muslim society"" - a poster with such statement was hung in a Madrasah area of ​​Dhaka.")</f>
        <v>"Those who pray in church, they are enemies of Muslim society" - a poster with such statement was hung in a Madrasah area of ​​Dhaka.</v>
      </c>
      <c r="D4007" s="5"/>
      <c r="E4007" s="5"/>
      <c r="F4007" s="5"/>
      <c r="G4007" s="5"/>
      <c r="H4007" s="5"/>
      <c r="I4007" s="5"/>
      <c r="J4007" s="5"/>
      <c r="K4007" s="5"/>
      <c r="L4007" s="5"/>
      <c r="M4007" s="5"/>
      <c r="N4007" s="5"/>
      <c r="O4007" s="5"/>
      <c r="P4007" s="5"/>
      <c r="Q4007" s="5"/>
      <c r="R4007" s="5"/>
      <c r="S4007" s="5"/>
      <c r="T4007" s="5"/>
      <c r="U4007" s="5"/>
      <c r="V4007" s="5"/>
      <c r="W4007" s="5"/>
      <c r="X4007" s="5"/>
      <c r="Y4007" s="5"/>
      <c r="Z4007" s="5"/>
    </row>
    <row r="4008" spans="1:26" ht="15.6" x14ac:dyDescent="0.3">
      <c r="A4008" s="18" t="s">
        <v>23</v>
      </c>
      <c r="B4008" s="24" t="s">
        <v>3990</v>
      </c>
      <c r="C4008" s="2" t="str">
        <f ca="1">IFERROR(__xludf.DUMMYFUNCTION("GOOGLETRANSLATE(B4008, ""bn"", ""en"")"),"Paritosh Sarkar has been arrested under the Digital Security Act and two others have been booked for allegedly making insulting and hateful comments about Islam on Facebook.")</f>
        <v>Paritosh Sarkar has been arrested under the Digital Security Act and two others have been booked for allegedly making insulting and hateful comments about Islam on Facebook.</v>
      </c>
      <c r="D4008" s="5"/>
      <c r="E4008" s="5"/>
      <c r="F4008" s="5"/>
      <c r="G4008" s="5"/>
      <c r="H4008" s="5"/>
      <c r="I4008" s="5"/>
      <c r="J4008" s="5"/>
      <c r="K4008" s="5"/>
      <c r="L4008" s="5"/>
      <c r="M4008" s="5"/>
      <c r="N4008" s="5"/>
      <c r="O4008" s="5"/>
      <c r="P4008" s="5"/>
      <c r="Q4008" s="5"/>
      <c r="R4008" s="5"/>
      <c r="S4008" s="5"/>
      <c r="T4008" s="5"/>
      <c r="U4008" s="5"/>
      <c r="V4008" s="5"/>
      <c r="W4008" s="5"/>
      <c r="X4008" s="5"/>
      <c r="Y4008" s="5"/>
      <c r="Z4008" s="5"/>
    </row>
    <row r="4009" spans="1:26" ht="15.6" x14ac:dyDescent="0.3">
      <c r="A4009" s="18" t="s">
        <v>5</v>
      </c>
      <c r="B4009" s="24" t="s">
        <v>3991</v>
      </c>
      <c r="C4009" s="2" t="str">
        <f ca="1">IFERROR(__xludf.DUMMYFUNCTION("GOOGLETRANSLATE(B4009, ""bn"", ""en"")"),"In Rajbari in March 2021, the house of a religious leader of the Christian community was attacked and set on fire, killing him and his wife while they were sleeping.")</f>
        <v>In Rajbari in March 2021, the house of a religious leader of the Christian community was attacked and set on fire, killing him and his wife while they were sleeping.</v>
      </c>
      <c r="D4009" s="5"/>
      <c r="E4009" s="5"/>
      <c r="F4009" s="5"/>
      <c r="G4009" s="5"/>
      <c r="H4009" s="5"/>
      <c r="I4009" s="5"/>
      <c r="J4009" s="5"/>
      <c r="K4009" s="5"/>
      <c r="L4009" s="5"/>
      <c r="M4009" s="5"/>
      <c r="N4009" s="5"/>
      <c r="O4009" s="5"/>
      <c r="P4009" s="5"/>
      <c r="Q4009" s="5"/>
      <c r="R4009" s="5"/>
      <c r="S4009" s="5"/>
      <c r="T4009" s="5"/>
      <c r="U4009" s="5"/>
      <c r="V4009" s="5"/>
      <c r="W4009" s="5"/>
      <c r="X4009" s="5"/>
      <c r="Y4009" s="5"/>
      <c r="Z4009" s="5"/>
    </row>
    <row r="4010" spans="1:26" ht="15.6" x14ac:dyDescent="0.3">
      <c r="A4010" s="18" t="s">
        <v>8</v>
      </c>
      <c r="B4010" s="24" t="s">
        <v>3992</v>
      </c>
      <c r="C4010" s="2" t="str">
        <f ca="1">IFERROR(__xludf.DUMMYFUNCTION("GOOGLETRANSLATE(B4010, ""bn"", ""en"")"),"In Dinajpur's Birganj, a Buddhist temple gate was painted with the words 'This place is ours, not the temple' and the pandal was torn down by miscreants.")</f>
        <v>In Dinajpur's Birganj, a Buddhist temple gate was painted with the words 'This place is ours, not the temple' and the pandal was torn down by miscreants.</v>
      </c>
      <c r="D4010" s="5"/>
      <c r="E4010" s="5"/>
      <c r="F4010" s="5"/>
      <c r="G4010" s="5"/>
      <c r="H4010" s="5"/>
      <c r="I4010" s="5"/>
      <c r="J4010" s="5"/>
      <c r="K4010" s="5"/>
      <c r="L4010" s="5"/>
      <c r="M4010" s="5"/>
      <c r="N4010" s="5"/>
      <c r="O4010" s="5"/>
      <c r="P4010" s="5"/>
      <c r="Q4010" s="5"/>
      <c r="R4010" s="5"/>
      <c r="S4010" s="5"/>
      <c r="T4010" s="5"/>
      <c r="U4010" s="5"/>
      <c r="V4010" s="5"/>
      <c r="W4010" s="5"/>
      <c r="X4010" s="5"/>
      <c r="Y4010" s="5"/>
      <c r="Z4010" s="5"/>
    </row>
    <row r="4011" spans="1:26" ht="15.6" x14ac:dyDescent="0.3">
      <c r="A4011" s="18" t="s">
        <v>23</v>
      </c>
      <c r="B4011" s="24" t="s">
        <v>3993</v>
      </c>
      <c r="C4011" s="2" t="str">
        <f ca="1">IFERROR(__xludf.DUMMYFUNCTION("GOOGLETRANSLATE(B4011, ""bn"", ""en"")"),"""In the name of Islam there is no peace in the world, but threats"" - a blogger insulted Muslims in his writing.")</f>
        <v>"In the name of Islam there is no peace in the world, but threats" - a blogger insulted Muslims in his writing.</v>
      </c>
      <c r="D4011" s="5"/>
      <c r="E4011" s="5"/>
      <c r="F4011" s="5"/>
      <c r="G4011" s="5"/>
      <c r="H4011" s="5"/>
      <c r="I4011" s="5"/>
      <c r="J4011" s="5"/>
      <c r="K4011" s="5"/>
      <c r="L4011" s="5"/>
      <c r="M4011" s="5"/>
      <c r="N4011" s="5"/>
      <c r="O4011" s="5"/>
      <c r="P4011" s="5"/>
      <c r="Q4011" s="5"/>
      <c r="R4011" s="5"/>
      <c r="S4011" s="5"/>
      <c r="T4011" s="5"/>
      <c r="U4011" s="5"/>
      <c r="V4011" s="5"/>
      <c r="W4011" s="5"/>
      <c r="X4011" s="5"/>
      <c r="Y4011" s="5"/>
      <c r="Z4011" s="5"/>
    </row>
    <row r="4012" spans="1:26" ht="15.6" x14ac:dyDescent="0.3">
      <c r="A4012" s="18" t="s">
        <v>5</v>
      </c>
      <c r="B4012" s="24" t="s">
        <v>3994</v>
      </c>
      <c r="C4012" s="2" t="str">
        <f ca="1">IFERROR(__xludf.DUMMYFUNCTION("GOOGLETRANSLATE(B4012, ""bn"", ""en"")"),"In September 2020, in Meherpur, two priests were hacked to death while sleeping in the temple, after which the temple was looted.")</f>
        <v>In September 2020, in Meherpur, two priests were hacked to death while sleeping in the temple, after which the temple was looted.</v>
      </c>
      <c r="D4012" s="5"/>
      <c r="E4012" s="5"/>
      <c r="F4012" s="5"/>
      <c r="G4012" s="5"/>
      <c r="H4012" s="5"/>
      <c r="I4012" s="5"/>
      <c r="J4012" s="5"/>
      <c r="K4012" s="5"/>
      <c r="L4012" s="5"/>
      <c r="M4012" s="5"/>
      <c r="N4012" s="5"/>
      <c r="O4012" s="5"/>
      <c r="P4012" s="5"/>
      <c r="Q4012" s="5"/>
      <c r="R4012" s="5"/>
      <c r="S4012" s="5"/>
      <c r="T4012" s="5"/>
      <c r="U4012" s="5"/>
      <c r="V4012" s="5"/>
      <c r="W4012" s="5"/>
      <c r="X4012" s="5"/>
      <c r="Y4012" s="5"/>
      <c r="Z4012" s="5"/>
    </row>
    <row r="4013" spans="1:26" ht="15.6" x14ac:dyDescent="0.3">
      <c r="A4013" s="18" t="s">
        <v>23</v>
      </c>
      <c r="B4013" s="24" t="s">
        <v>3995</v>
      </c>
      <c r="C4013" s="2" t="str">
        <f ca="1">IFERROR(__xludf.DUMMYFUNCTION("GOOGLETRANSLATE(B4013, ""bn"", ""en"")"),"If Islam is accepted in the country, it is compulsory for girls to stop studying after intermediate, otherwise the society will be destroyed. If you break the law of Allah, you will be punished. Women want knowledge or virtue.")</f>
        <v>If Islam is accepted in the country, it is compulsory for girls to stop studying after intermediate, otherwise the society will be destroyed. If you break the law of Allah, you will be punished. Women want knowledge or virtue.</v>
      </c>
      <c r="D4013" s="5"/>
      <c r="E4013" s="5"/>
      <c r="F4013" s="5"/>
      <c r="G4013" s="5"/>
      <c r="H4013" s="5"/>
      <c r="I4013" s="5"/>
      <c r="J4013" s="5"/>
      <c r="K4013" s="5"/>
      <c r="L4013" s="5"/>
      <c r="M4013" s="5"/>
      <c r="N4013" s="5"/>
      <c r="O4013" s="5"/>
      <c r="P4013" s="5"/>
      <c r="Q4013" s="5"/>
      <c r="R4013" s="5"/>
      <c r="S4013" s="5"/>
      <c r="T4013" s="5"/>
      <c r="U4013" s="5"/>
      <c r="V4013" s="5"/>
      <c r="W4013" s="5"/>
      <c r="X4013" s="5"/>
      <c r="Y4013" s="5"/>
      <c r="Z4013" s="5"/>
    </row>
    <row r="4014" spans="1:26" ht="15.6" x14ac:dyDescent="0.3">
      <c r="A4014" s="18" t="s">
        <v>8</v>
      </c>
      <c r="B4014" s="24" t="s">
        <v>3996</v>
      </c>
      <c r="C4014" s="2" t="str">
        <f ca="1">IFERROR(__xludf.DUMMYFUNCTION("GOOGLETRANSLATE(B4014, ""bn"", ""en"")"),"During the Gita reading in Narayanganj, some local youth cut the electricity, tore the mic and stopped the puja.")</f>
        <v>During the Gita reading in Narayanganj, some local youth cut the electricity, tore the mic and stopped the puja.</v>
      </c>
      <c r="D4014" s="5"/>
      <c r="E4014" s="5"/>
      <c r="F4014" s="5"/>
      <c r="G4014" s="5"/>
      <c r="H4014" s="5"/>
      <c r="I4014" s="5"/>
      <c r="J4014" s="5"/>
      <c r="K4014" s="5"/>
      <c r="L4014" s="5"/>
      <c r="M4014" s="5"/>
      <c r="N4014" s="5"/>
      <c r="O4014" s="5"/>
      <c r="P4014" s="5"/>
      <c r="Q4014" s="5"/>
      <c r="R4014" s="5"/>
      <c r="S4014" s="5"/>
      <c r="T4014" s="5"/>
      <c r="U4014" s="5"/>
      <c r="V4014" s="5"/>
      <c r="W4014" s="5"/>
      <c r="X4014" s="5"/>
      <c r="Y4014" s="5"/>
      <c r="Z4014" s="5"/>
    </row>
    <row r="4015" spans="1:26" ht="15.6" x14ac:dyDescent="0.3">
      <c r="A4015" s="18" t="s">
        <v>23</v>
      </c>
      <c r="B4015" s="24" t="s">
        <v>3997</v>
      </c>
      <c r="C4015" s="2" t="str">
        <f ca="1">IFERROR(__xludf.DUMMYFUNCTION("GOOGLETRANSLATE(B4015, ""bn"", ""en"")"),"""Religion is sold if you go to the homes of minorities and ask for votes"" - a political activist created a controversy on social media by commenting.")</f>
        <v>"Religion is sold if you go to the homes of minorities and ask for votes" - a political activist created a controversy on social media by commenting.</v>
      </c>
      <c r="D4015" s="5"/>
      <c r="E4015" s="5"/>
      <c r="F4015" s="5"/>
      <c r="G4015" s="5"/>
      <c r="H4015" s="5"/>
      <c r="I4015" s="5"/>
      <c r="J4015" s="5"/>
      <c r="K4015" s="5"/>
      <c r="L4015" s="5"/>
      <c r="M4015" s="5"/>
      <c r="N4015" s="5"/>
      <c r="O4015" s="5"/>
      <c r="P4015" s="5"/>
      <c r="Q4015" s="5"/>
      <c r="R4015" s="5"/>
      <c r="S4015" s="5"/>
      <c r="T4015" s="5"/>
      <c r="U4015" s="5"/>
      <c r="V4015" s="5"/>
      <c r="W4015" s="5"/>
      <c r="X4015" s="5"/>
      <c r="Y4015" s="5"/>
      <c r="Z4015" s="5"/>
    </row>
    <row r="4016" spans="1:26" ht="15.6" x14ac:dyDescent="0.3">
      <c r="A4016" s="18" t="s">
        <v>8</v>
      </c>
      <c r="B4016" s="24" t="s">
        <v>3998</v>
      </c>
      <c r="C4016" s="2" t="str">
        <f ca="1">IFERROR(__xludf.DUMMYFUNCTION("GOOGLETRANSLATE(B4016, ""bn"", ""en"")"),"Jamaat-e-Islam and BNP activists ransacked the homes of Hindus in Lohagra upazila, destroying their property and in Kalujan area; They vandalized Hindu shops in Hindu markets. [6] They also tried to destroy Hindu temples.")</f>
        <v>Jamaat-e-Islam and BNP activists ransacked the homes of Hindus in Lohagra upazila, destroying their property and in Kalujan area; They vandalized Hindu shops in Hindu markets. [6] They also tried to destroy Hindu temples.</v>
      </c>
      <c r="D4016" s="15"/>
      <c r="E4016" s="15"/>
      <c r="F4016" s="15"/>
      <c r="G4016" s="15"/>
      <c r="H4016" s="15"/>
      <c r="I4016" s="15"/>
      <c r="J4016" s="15"/>
      <c r="K4016" s="15"/>
      <c r="L4016" s="15"/>
      <c r="M4016" s="15"/>
      <c r="N4016" s="15"/>
      <c r="O4016" s="15"/>
      <c r="P4016" s="15"/>
      <c r="Q4016" s="15"/>
      <c r="R4016" s="15"/>
      <c r="S4016" s="15"/>
      <c r="T4016" s="15"/>
      <c r="U4016" s="15"/>
      <c r="V4016" s="15"/>
      <c r="W4016" s="15"/>
      <c r="X4016" s="15"/>
      <c r="Y4016" s="15"/>
      <c r="Z4016" s="15"/>
    </row>
    <row r="4017" spans="1:26" ht="15.6" x14ac:dyDescent="0.3">
      <c r="A4017" s="18" t="s">
        <v>8</v>
      </c>
      <c r="B4017" s="24" t="s">
        <v>3999</v>
      </c>
      <c r="C4017" s="2" t="str">
        <f ca="1">IFERROR(__xludf.DUMMYFUNCTION("GOOGLETRANSLATE(B4017, ""bn"", ""en"")"),"When Abdul Jabbar's engineer gave a religious hate speech in a public meeting, the excited crowd attacked Kalupara and Nathpara, Hindu Mohallas of Tuskhali and vandalized houses and places of worship.")</f>
        <v>When Abdul Jabbar's engineer gave a religious hate speech in a public meeting, the excited crowd attacked Kalupara and Nathpara, Hindu Mohallas of Tuskhali and vandalized houses and places of worship.</v>
      </c>
      <c r="D4017" s="15"/>
      <c r="E4017" s="15"/>
      <c r="F4017" s="15"/>
      <c r="G4017" s="15"/>
      <c r="H4017" s="15"/>
      <c r="I4017" s="15"/>
      <c r="J4017" s="15"/>
      <c r="K4017" s="15"/>
      <c r="L4017" s="15"/>
      <c r="M4017" s="15"/>
      <c r="N4017" s="15"/>
      <c r="O4017" s="15"/>
      <c r="P4017" s="15"/>
      <c r="Q4017" s="15"/>
      <c r="R4017" s="15"/>
      <c r="S4017" s="15"/>
      <c r="T4017" s="15"/>
      <c r="U4017" s="15"/>
      <c r="V4017" s="15"/>
      <c r="W4017" s="15"/>
      <c r="X4017" s="15"/>
      <c r="Y4017" s="15"/>
      <c r="Z4017" s="15"/>
    </row>
    <row r="4018" spans="1:26" ht="15.6" x14ac:dyDescent="0.3">
      <c r="A4018" s="18" t="s">
        <v>23</v>
      </c>
      <c r="B4018" s="24" t="s">
        <v>4000</v>
      </c>
      <c r="C4018" s="2" t="str">
        <f ca="1">IFERROR(__xludf.DUMMYFUNCTION("GOOGLETRANSLATE(B4018, ""bn"", ""en"")"),"Those who have insulted the Quran, the enemy Muslims will not tolerate this, they will take revenge. Because Muslims can never tolerate the insult of Al-Qur'an.")</f>
        <v>Those who have insulted the Quran, the enemy Muslims will not tolerate this, they will take revenge. Because Muslims can never tolerate the insult of Al-Qur'an.</v>
      </c>
      <c r="D4018" s="15"/>
      <c r="E4018" s="15"/>
      <c r="F4018" s="15"/>
      <c r="G4018" s="15"/>
      <c r="H4018" s="15"/>
      <c r="I4018" s="15"/>
      <c r="J4018" s="15"/>
      <c r="K4018" s="15"/>
      <c r="L4018" s="15"/>
      <c r="M4018" s="15"/>
      <c r="N4018" s="15"/>
      <c r="O4018" s="15"/>
      <c r="P4018" s="15"/>
      <c r="Q4018" s="15"/>
      <c r="R4018" s="15"/>
      <c r="S4018" s="15"/>
      <c r="T4018" s="15"/>
      <c r="U4018" s="15"/>
      <c r="V4018" s="15"/>
      <c r="W4018" s="15"/>
      <c r="X4018" s="15"/>
      <c r="Y4018" s="15"/>
      <c r="Z4018" s="15"/>
    </row>
    <row r="4019" spans="1:26" ht="15.6" x14ac:dyDescent="0.3">
      <c r="A4019" s="18" t="s">
        <v>5</v>
      </c>
      <c r="B4019" s="24" t="s">
        <v>4001</v>
      </c>
      <c r="C4019" s="2" t="str">
        <f ca="1">IFERROR(__xludf.DUMMYFUNCTION("GOOGLETRANSLATE(B4019, ""bn"", ""en"")"),"In July 2017, a group of minorities set fire to a market, killing 36 people; Many shops and houses were burnt.")</f>
        <v>In July 2017, a group of minorities set fire to a market, killing 36 people; Many shops and houses were burnt.</v>
      </c>
      <c r="D4019" s="15"/>
      <c r="E4019" s="15"/>
      <c r="F4019" s="15"/>
      <c r="G4019" s="15"/>
      <c r="H4019" s="15"/>
      <c r="I4019" s="15"/>
      <c r="J4019" s="15"/>
      <c r="K4019" s="15"/>
      <c r="L4019" s="15"/>
      <c r="M4019" s="15"/>
      <c r="N4019" s="15"/>
      <c r="O4019" s="15"/>
      <c r="P4019" s="15"/>
      <c r="Q4019" s="15"/>
      <c r="R4019" s="15"/>
      <c r="S4019" s="15"/>
      <c r="T4019" s="15"/>
      <c r="U4019" s="15"/>
      <c r="V4019" s="15"/>
      <c r="W4019" s="15"/>
      <c r="X4019" s="15"/>
      <c r="Y4019" s="15"/>
      <c r="Z4019" s="15"/>
    </row>
    <row r="4020" spans="1:26" ht="15.6" x14ac:dyDescent="0.3">
      <c r="A4020" s="18" t="s">
        <v>23</v>
      </c>
      <c r="B4020" s="24" t="s">
        <v>4002</v>
      </c>
      <c r="C4020" s="2" t="str">
        <f ca="1">IFERROR(__xludf.DUMMYFUNCTION("GOOGLETRANSLATE(B4020, ""bn"", ""en"")"),"Atheists who insult Islam and Holy Quran should not be allowed to live in the soil of Bengal and should be buried.")</f>
        <v>Atheists who insult Islam and Holy Quran should not be allowed to live in the soil of Bengal and should be buried.</v>
      </c>
      <c r="D4020" s="15"/>
      <c r="E4020" s="15"/>
      <c r="F4020" s="15"/>
      <c r="G4020" s="15"/>
      <c r="H4020" s="15"/>
      <c r="I4020" s="15"/>
      <c r="J4020" s="15"/>
      <c r="K4020" s="15"/>
      <c r="L4020" s="15"/>
      <c r="M4020" s="15"/>
      <c r="N4020" s="15"/>
      <c r="O4020" s="15"/>
      <c r="P4020" s="15"/>
      <c r="Q4020" s="15"/>
      <c r="R4020" s="15"/>
      <c r="S4020" s="15"/>
      <c r="T4020" s="15"/>
      <c r="U4020" s="15"/>
      <c r="V4020" s="15"/>
      <c r="W4020" s="15"/>
      <c r="X4020" s="15"/>
      <c r="Y4020" s="15"/>
      <c r="Z4020" s="15"/>
    </row>
    <row r="4021" spans="1:26" ht="15.6" x14ac:dyDescent="0.3">
      <c r="A4021" s="18" t="s">
        <v>23</v>
      </c>
      <c r="B4021" s="24" t="s">
        <v>704</v>
      </c>
      <c r="C4021" s="2" t="str">
        <f ca="1">IFERROR(__xludf.DUMMYFUNCTION("GOOGLETRANSLATE(B4021, ""bn"", ""en"")"),"Muslim extremists consider their religion superior to other religions and despise others.")</f>
        <v>Muslim extremists consider their religion superior to other religions and despise others.</v>
      </c>
      <c r="D4021" s="15"/>
      <c r="E4021" s="15"/>
      <c r="F4021" s="15"/>
      <c r="G4021" s="15"/>
      <c r="H4021" s="15"/>
      <c r="I4021" s="15"/>
      <c r="J4021" s="15"/>
      <c r="K4021" s="15"/>
      <c r="L4021" s="15"/>
      <c r="M4021" s="15"/>
      <c r="N4021" s="15"/>
      <c r="O4021" s="15"/>
      <c r="P4021" s="15"/>
      <c r="Q4021" s="15"/>
      <c r="R4021" s="15"/>
      <c r="S4021" s="15"/>
      <c r="T4021" s="15"/>
      <c r="U4021" s="15"/>
      <c r="V4021" s="15"/>
      <c r="W4021" s="15"/>
      <c r="X4021" s="15"/>
      <c r="Y4021" s="15"/>
      <c r="Z4021" s="15"/>
    </row>
    <row r="4022" spans="1:26" ht="15.6" x14ac:dyDescent="0.3">
      <c r="A4022" s="18" t="s">
        <v>23</v>
      </c>
      <c r="B4022" s="24" t="s">
        <v>4003</v>
      </c>
      <c r="C4022" s="2" t="str">
        <f ca="1">IFERROR(__xludf.DUMMYFUNCTION("GOOGLETRANSLATE(B4022, ""bn"", ""en"")"),"Those who have insulted Islam by deliberately putting Quran on idols are not fit to live in this country")</f>
        <v>Those who have insulted Islam by deliberately putting Quran on idols are not fit to live in this country</v>
      </c>
      <c r="D4022" s="15"/>
      <c r="E4022" s="15"/>
      <c r="F4022" s="15"/>
      <c r="G4022" s="15"/>
      <c r="H4022" s="15"/>
      <c r="I4022" s="15"/>
      <c r="J4022" s="15"/>
      <c r="K4022" s="15"/>
      <c r="L4022" s="15"/>
      <c r="M4022" s="15"/>
      <c r="N4022" s="15"/>
      <c r="O4022" s="15"/>
      <c r="P4022" s="15"/>
      <c r="Q4022" s="15"/>
      <c r="R4022" s="15"/>
      <c r="S4022" s="15"/>
      <c r="T4022" s="15"/>
      <c r="U4022" s="15"/>
      <c r="V4022" s="15"/>
      <c r="W4022" s="15"/>
      <c r="X4022" s="15"/>
      <c r="Y4022" s="15"/>
      <c r="Z4022" s="15"/>
    </row>
    <row r="4023" spans="1:26" ht="15.6" x14ac:dyDescent="0.3">
      <c r="A4023" s="18" t="s">
        <v>8</v>
      </c>
      <c r="B4023" s="24" t="s">
        <v>4004</v>
      </c>
      <c r="C4023" s="2" t="str">
        <f ca="1">IFERROR(__xludf.DUMMYFUNCTION("GOOGLETRANSLATE(B4023, ""bn"", ""en"")"),"An area of ​​about 2000 square km in Noakhali and Tripura was affected by religious riots.")</f>
        <v>An area of ​​about 2000 square km in Noakhali and Tripura was affected by religious riots.</v>
      </c>
      <c r="D4023" s="15"/>
      <c r="E4023" s="15"/>
      <c r="F4023" s="15"/>
      <c r="G4023" s="15"/>
      <c r="H4023" s="15"/>
      <c r="I4023" s="15"/>
      <c r="J4023" s="15"/>
      <c r="K4023" s="15"/>
      <c r="L4023" s="15"/>
      <c r="M4023" s="15"/>
      <c r="N4023" s="15"/>
      <c r="O4023" s="15"/>
      <c r="P4023" s="15"/>
      <c r="Q4023" s="15"/>
      <c r="R4023" s="15"/>
      <c r="S4023" s="15"/>
      <c r="T4023" s="15"/>
      <c r="U4023" s="15"/>
      <c r="V4023" s="15"/>
      <c r="W4023" s="15"/>
      <c r="X4023" s="15"/>
      <c r="Y4023" s="15"/>
      <c r="Z4023" s="15"/>
    </row>
    <row r="4024" spans="1:26" ht="15.6" x14ac:dyDescent="0.3">
      <c r="A4024" s="18" t="s">
        <v>23</v>
      </c>
      <c r="B4024" s="24" t="s">
        <v>4005</v>
      </c>
      <c r="C4024" s="2" t="str">
        <f ca="1">IFERROR(__xludf.DUMMYFUNCTION("GOOGLETRANSLATE(B4024, ""bn"", ""en"")"),"Some websites are now a weapon of spread of lies by anti-Islamists who want to mislead Muslims by distorting Islamic history and hiding the truth to destroy their faith in Bangladesh.")</f>
        <v>Some websites are now a weapon of spread of lies by anti-Islamists who want to mislead Muslims by distorting Islamic history and hiding the truth to destroy their faith in Bangladesh.</v>
      </c>
      <c r="D4024" s="15"/>
      <c r="E4024" s="15"/>
      <c r="F4024" s="15"/>
      <c r="G4024" s="15"/>
      <c r="H4024" s="15"/>
      <c r="I4024" s="15"/>
      <c r="J4024" s="15"/>
      <c r="K4024" s="15"/>
      <c r="L4024" s="15"/>
      <c r="M4024" s="15"/>
      <c r="N4024" s="15"/>
      <c r="O4024" s="15"/>
      <c r="P4024" s="15"/>
      <c r="Q4024" s="15"/>
      <c r="R4024" s="15"/>
      <c r="S4024" s="15"/>
      <c r="T4024" s="15"/>
      <c r="U4024" s="15"/>
      <c r="V4024" s="15"/>
      <c r="W4024" s="15"/>
      <c r="X4024" s="15"/>
      <c r="Y4024" s="15"/>
      <c r="Z4024" s="15"/>
    </row>
    <row r="4025" spans="1:26" ht="15.6" x14ac:dyDescent="0.3">
      <c r="A4025" s="18" t="s">
        <v>5</v>
      </c>
      <c r="B4025" s="24" t="s">
        <v>4006</v>
      </c>
      <c r="C4025" s="2" t="str">
        <f ca="1">IFERROR(__xludf.DUMMYFUNCTION("GOOGLETRANSLATE(B4025, ""bn"", ""en"")"),"Thus, Hafez Al-Assad established his power in Syria by mass killing Muslims. He has killed millions of Sunni Muslims for the past 11 years, and continues to do so today.")</f>
        <v>Thus, Hafez Al-Assad established his power in Syria by mass killing Muslims. He has killed millions of Sunni Muslims for the past 11 years, and continues to do so today.</v>
      </c>
      <c r="D4025" s="15"/>
      <c r="E4025" s="15"/>
      <c r="F4025" s="15"/>
      <c r="G4025" s="15"/>
      <c r="H4025" s="15"/>
      <c r="I4025" s="15"/>
      <c r="J4025" s="15"/>
      <c r="K4025" s="15"/>
      <c r="L4025" s="15"/>
      <c r="M4025" s="15"/>
      <c r="N4025" s="15"/>
      <c r="O4025" s="15"/>
      <c r="P4025" s="15"/>
      <c r="Q4025" s="15"/>
      <c r="R4025" s="15"/>
      <c r="S4025" s="15"/>
      <c r="T4025" s="15"/>
      <c r="U4025" s="15"/>
      <c r="V4025" s="15"/>
      <c r="W4025" s="15"/>
      <c r="X4025" s="15"/>
      <c r="Y4025" s="15"/>
      <c r="Z4025" s="15"/>
    </row>
    <row r="4026" spans="1:26" ht="15.6" x14ac:dyDescent="0.3">
      <c r="A4026" s="18" t="s">
        <v>3</v>
      </c>
      <c r="B4026" s="24" t="s">
        <v>4007</v>
      </c>
      <c r="C4026" s="2" t="str">
        <f ca="1">IFERROR(__xludf.DUMMYFUNCTION("GOOGLETRANSLATE(B4026, ""bn"", ""en"")"),"Surely Islam is the (only chosen) religion with Allah.")</f>
        <v>Surely Islam is the (only chosen) religion with Allah.</v>
      </c>
      <c r="D4026" s="15"/>
      <c r="E4026" s="15"/>
      <c r="F4026" s="15"/>
      <c r="G4026" s="15"/>
      <c r="H4026" s="15"/>
      <c r="I4026" s="15"/>
      <c r="J4026" s="15"/>
      <c r="K4026" s="15"/>
      <c r="L4026" s="15"/>
      <c r="M4026" s="15"/>
      <c r="N4026" s="15"/>
      <c r="O4026" s="15"/>
      <c r="P4026" s="15"/>
      <c r="Q4026" s="15"/>
      <c r="R4026" s="15"/>
      <c r="S4026" s="15"/>
      <c r="T4026" s="15"/>
      <c r="U4026" s="15"/>
      <c r="V4026" s="15"/>
      <c r="W4026" s="15"/>
      <c r="X4026" s="15"/>
      <c r="Y4026" s="15"/>
      <c r="Z4026" s="15"/>
    </row>
    <row r="4027" spans="1:26" ht="15.6" x14ac:dyDescent="0.3">
      <c r="A4027" s="18" t="s">
        <v>3</v>
      </c>
      <c r="B4027" s="24" t="s">
        <v>4008</v>
      </c>
      <c r="C4027" s="2" t="str">
        <f ca="1">IFERROR(__xludf.DUMMYFUNCTION("GOOGLETRANSLATE(B4027, ""bn"", ""en"")"),"This research has shown that people of different religions and races have peacefully coped with events such as major natural disasters.")</f>
        <v>This research has shown that people of different religions and races have peacefully coped with events such as major natural disasters.</v>
      </c>
      <c r="D4027" s="15"/>
      <c r="E4027" s="15"/>
      <c r="F4027" s="15"/>
      <c r="G4027" s="15"/>
      <c r="H4027" s="15"/>
      <c r="I4027" s="15"/>
      <c r="J4027" s="15"/>
      <c r="K4027" s="15"/>
      <c r="L4027" s="15"/>
      <c r="M4027" s="15"/>
      <c r="N4027" s="15"/>
      <c r="O4027" s="15"/>
      <c r="P4027" s="15"/>
      <c r="Q4027" s="15"/>
      <c r="R4027" s="15"/>
      <c r="S4027" s="15"/>
      <c r="T4027" s="15"/>
      <c r="U4027" s="15"/>
      <c r="V4027" s="15"/>
      <c r="W4027" s="15"/>
      <c r="X4027" s="15"/>
      <c r="Y4027" s="15"/>
      <c r="Z4027" s="15"/>
    </row>
    <row r="4028" spans="1:26" ht="15.6" x14ac:dyDescent="0.3">
      <c r="A4028" s="18" t="s">
        <v>23</v>
      </c>
      <c r="B4028" s="24" t="s">
        <v>4009</v>
      </c>
      <c r="C4028" s="2" t="str">
        <f ca="1">IFERROR(__xludf.DUMMYFUNCTION("GOOGLETRANSLATE(B4028, ""bn"", ""en"")"),"Harming the religious sentiments of Muslims in Bangladesh and insulting the Holy Quran and Kaaba Sharif is not a heinous example of religious terrorism and moral degradation?")</f>
        <v>Harming the religious sentiments of Muslims in Bangladesh and insulting the Holy Quran and Kaaba Sharif is not a heinous example of religious terrorism and moral degradation?</v>
      </c>
      <c r="D4028" s="15"/>
      <c r="E4028" s="15"/>
      <c r="F4028" s="15"/>
      <c r="G4028" s="15"/>
      <c r="H4028" s="15"/>
      <c r="I4028" s="15"/>
      <c r="J4028" s="15"/>
      <c r="K4028" s="15"/>
      <c r="L4028" s="15"/>
      <c r="M4028" s="15"/>
      <c r="N4028" s="15"/>
      <c r="O4028" s="15"/>
      <c r="P4028" s="15"/>
      <c r="Q4028" s="15"/>
      <c r="R4028" s="15"/>
      <c r="S4028" s="15"/>
      <c r="T4028" s="15"/>
      <c r="U4028" s="15"/>
      <c r="V4028" s="15"/>
      <c r="W4028" s="15"/>
      <c r="X4028" s="15"/>
      <c r="Y4028" s="15"/>
      <c r="Z4028" s="15"/>
    </row>
    <row r="4029" spans="1:26" ht="15.6" x14ac:dyDescent="0.3">
      <c r="A4029" s="18"/>
      <c r="B4029" s="24"/>
      <c r="C4029" s="2"/>
      <c r="D4029" s="16"/>
      <c r="E4029" s="16"/>
      <c r="F4029" s="16"/>
      <c r="G4029" s="16"/>
      <c r="H4029" s="16"/>
      <c r="I4029" s="16"/>
      <c r="J4029" s="16"/>
      <c r="K4029" s="16"/>
      <c r="L4029" s="16"/>
      <c r="M4029" s="16"/>
      <c r="N4029" s="16"/>
      <c r="O4029" s="16"/>
      <c r="P4029" s="16"/>
      <c r="Q4029" s="16"/>
      <c r="R4029" s="16"/>
      <c r="S4029" s="16"/>
      <c r="T4029" s="16"/>
      <c r="U4029" s="16"/>
      <c r="V4029" s="16"/>
      <c r="W4029" s="16"/>
      <c r="X4029" s="16"/>
      <c r="Y4029" s="16"/>
      <c r="Z4029" s="16"/>
    </row>
    <row r="4030" spans="1:26" ht="15.6" x14ac:dyDescent="0.3">
      <c r="A4030" s="18"/>
      <c r="B4030" s="24"/>
      <c r="C4030" s="2"/>
      <c r="D4030" s="16"/>
      <c r="E4030" s="16"/>
      <c r="F4030" s="16"/>
      <c r="G4030" s="16"/>
      <c r="H4030" s="16"/>
      <c r="I4030" s="16"/>
      <c r="J4030" s="16"/>
      <c r="K4030" s="16"/>
      <c r="L4030" s="16"/>
      <c r="M4030" s="16"/>
      <c r="N4030" s="16"/>
      <c r="O4030" s="16"/>
      <c r="P4030" s="16"/>
      <c r="Q4030" s="16"/>
      <c r="R4030" s="16"/>
      <c r="S4030" s="16"/>
      <c r="T4030" s="16"/>
      <c r="U4030" s="16"/>
      <c r="V4030" s="16"/>
      <c r="W4030" s="16"/>
      <c r="X4030" s="16"/>
      <c r="Y4030" s="16"/>
      <c r="Z4030" s="16"/>
    </row>
    <row r="4031" spans="1:26" ht="15.6" x14ac:dyDescent="0.3">
      <c r="A4031" s="18"/>
      <c r="B4031" s="24"/>
      <c r="C4031" s="2"/>
      <c r="D4031" s="16"/>
      <c r="E4031" s="16"/>
      <c r="F4031" s="16"/>
      <c r="G4031" s="16"/>
      <c r="H4031" s="16"/>
      <c r="I4031" s="16"/>
      <c r="J4031" s="16"/>
      <c r="K4031" s="16"/>
      <c r="L4031" s="16"/>
      <c r="M4031" s="16"/>
      <c r="N4031" s="16"/>
      <c r="O4031" s="16"/>
      <c r="P4031" s="16"/>
      <c r="Q4031" s="16"/>
      <c r="R4031" s="16"/>
      <c r="S4031" s="16"/>
      <c r="T4031" s="16"/>
      <c r="U4031" s="16"/>
      <c r="V4031" s="16"/>
      <c r="W4031" s="16"/>
      <c r="X4031" s="16"/>
      <c r="Y4031" s="16"/>
      <c r="Z4031" s="16"/>
    </row>
    <row r="4032" spans="1:26" ht="15.6" x14ac:dyDescent="0.3">
      <c r="A4032" s="18"/>
      <c r="B4032" s="24"/>
      <c r="C4032" s="2"/>
      <c r="D4032" s="16"/>
      <c r="E4032" s="16"/>
      <c r="F4032" s="16"/>
      <c r="G4032" s="16"/>
      <c r="H4032" s="16"/>
      <c r="I4032" s="16"/>
      <c r="J4032" s="16"/>
      <c r="K4032" s="16"/>
      <c r="L4032" s="16"/>
      <c r="M4032" s="16"/>
      <c r="N4032" s="16"/>
      <c r="O4032" s="16"/>
      <c r="P4032" s="16"/>
      <c r="Q4032" s="16"/>
      <c r="R4032" s="16"/>
      <c r="S4032" s="16"/>
      <c r="T4032" s="16"/>
      <c r="U4032" s="16"/>
      <c r="V4032" s="16"/>
      <c r="W4032" s="16"/>
      <c r="X4032" s="16"/>
      <c r="Y4032" s="16"/>
      <c r="Z4032" s="16"/>
    </row>
    <row r="4033" spans="1:26" ht="15.6" x14ac:dyDescent="0.3">
      <c r="A4033" s="18"/>
      <c r="B4033" s="24"/>
      <c r="C4033" s="2"/>
      <c r="D4033" s="16"/>
      <c r="E4033" s="16"/>
      <c r="F4033" s="16"/>
      <c r="G4033" s="16"/>
      <c r="H4033" s="16"/>
      <c r="I4033" s="16"/>
      <c r="J4033" s="16"/>
      <c r="K4033" s="16"/>
      <c r="L4033" s="16"/>
      <c r="M4033" s="16"/>
      <c r="N4033" s="16"/>
      <c r="O4033" s="16"/>
      <c r="P4033" s="16"/>
      <c r="Q4033" s="16"/>
      <c r="R4033" s="16"/>
      <c r="S4033" s="16"/>
      <c r="T4033" s="16"/>
      <c r="U4033" s="16"/>
      <c r="V4033" s="16"/>
      <c r="W4033" s="16"/>
      <c r="X4033" s="16"/>
      <c r="Y4033" s="16"/>
      <c r="Z4033" s="16"/>
    </row>
    <row r="4034" spans="1:26" ht="15.6" x14ac:dyDescent="0.3">
      <c r="A4034" s="18"/>
      <c r="B4034" s="24"/>
      <c r="C4034" s="2"/>
      <c r="D4034" s="16"/>
      <c r="E4034" s="16"/>
      <c r="F4034" s="16"/>
      <c r="G4034" s="16"/>
      <c r="H4034" s="16"/>
      <c r="I4034" s="16"/>
      <c r="J4034" s="16"/>
      <c r="K4034" s="16"/>
      <c r="L4034" s="16"/>
      <c r="M4034" s="16"/>
      <c r="N4034" s="16"/>
      <c r="O4034" s="16"/>
      <c r="P4034" s="16"/>
      <c r="Q4034" s="16"/>
      <c r="R4034" s="16"/>
      <c r="S4034" s="16"/>
      <c r="T4034" s="16"/>
      <c r="U4034" s="16"/>
      <c r="V4034" s="16"/>
      <c r="W4034" s="16"/>
      <c r="X4034" s="16"/>
      <c r="Y4034" s="16"/>
      <c r="Z4034" s="16"/>
    </row>
    <row r="4035" spans="1:26" ht="15.6" x14ac:dyDescent="0.3">
      <c r="A4035" s="18"/>
      <c r="B4035" s="24"/>
      <c r="C4035" s="2"/>
      <c r="D4035" s="16"/>
      <c r="E4035" s="16"/>
      <c r="F4035" s="16"/>
      <c r="G4035" s="16"/>
      <c r="H4035" s="16"/>
      <c r="I4035" s="16"/>
      <c r="J4035" s="16"/>
      <c r="K4035" s="16"/>
      <c r="L4035" s="16"/>
      <c r="M4035" s="16"/>
      <c r="N4035" s="16"/>
      <c r="O4035" s="16"/>
      <c r="P4035" s="16"/>
      <c r="Q4035" s="16"/>
      <c r="R4035" s="16"/>
      <c r="S4035" s="16"/>
      <c r="T4035" s="16"/>
      <c r="U4035" s="16"/>
      <c r="V4035" s="16"/>
      <c r="W4035" s="16"/>
      <c r="X4035" s="16"/>
      <c r="Y4035" s="16"/>
      <c r="Z4035" s="16"/>
    </row>
    <row r="4036" spans="1:26" ht="15.6" x14ac:dyDescent="0.3">
      <c r="A4036" s="18"/>
      <c r="B4036" s="24"/>
      <c r="C4036" s="2"/>
      <c r="D4036" s="16"/>
      <c r="E4036" s="16"/>
      <c r="F4036" s="16"/>
      <c r="G4036" s="16"/>
      <c r="H4036" s="16"/>
      <c r="I4036" s="16"/>
      <c r="J4036" s="16"/>
      <c r="K4036" s="16"/>
      <c r="L4036" s="16"/>
      <c r="M4036" s="16"/>
      <c r="N4036" s="16"/>
      <c r="O4036" s="16"/>
      <c r="P4036" s="16"/>
      <c r="Q4036" s="16"/>
      <c r="R4036" s="16"/>
      <c r="S4036" s="16"/>
      <c r="T4036" s="16"/>
      <c r="U4036" s="16"/>
      <c r="V4036" s="16"/>
      <c r="W4036" s="16"/>
      <c r="X4036" s="16"/>
      <c r="Y4036" s="16"/>
      <c r="Z4036" s="16"/>
    </row>
    <row r="4037" spans="1:26" ht="15.6" x14ac:dyDescent="0.3">
      <c r="A4037" s="18"/>
      <c r="B4037" s="24"/>
      <c r="C4037" s="2"/>
      <c r="D4037" s="16"/>
      <c r="E4037" s="16"/>
      <c r="F4037" s="16"/>
      <c r="G4037" s="16"/>
      <c r="H4037" s="16"/>
      <c r="I4037" s="16"/>
      <c r="J4037" s="16"/>
      <c r="K4037" s="16"/>
      <c r="L4037" s="16"/>
      <c r="M4037" s="16"/>
      <c r="N4037" s="16"/>
      <c r="O4037" s="16"/>
      <c r="P4037" s="16"/>
      <c r="Q4037" s="16"/>
      <c r="R4037" s="16"/>
      <c r="S4037" s="16"/>
      <c r="T4037" s="16"/>
      <c r="U4037" s="16"/>
      <c r="V4037" s="16"/>
      <c r="W4037" s="16"/>
      <c r="X4037" s="16"/>
      <c r="Y4037" s="16"/>
      <c r="Z4037" s="16"/>
    </row>
    <row r="4038" spans="1:26" ht="15.6" x14ac:dyDescent="0.3">
      <c r="A4038" s="18"/>
      <c r="B4038" s="24"/>
      <c r="C4038" s="2"/>
      <c r="D4038" s="16"/>
      <c r="E4038" s="16"/>
      <c r="F4038" s="16"/>
      <c r="G4038" s="16"/>
      <c r="H4038" s="16"/>
      <c r="I4038" s="16"/>
      <c r="J4038" s="16"/>
      <c r="K4038" s="16"/>
      <c r="L4038" s="16"/>
      <c r="M4038" s="16"/>
      <c r="N4038" s="16"/>
      <c r="O4038" s="16"/>
      <c r="P4038" s="16"/>
      <c r="Q4038" s="16"/>
      <c r="R4038" s="16"/>
      <c r="S4038" s="16"/>
      <c r="T4038" s="16"/>
      <c r="U4038" s="16"/>
      <c r="V4038" s="16"/>
      <c r="W4038" s="16"/>
      <c r="X4038" s="16"/>
      <c r="Y4038" s="16"/>
      <c r="Z4038" s="16"/>
    </row>
    <row r="4039" spans="1:26" ht="15.6" x14ac:dyDescent="0.3">
      <c r="A4039" s="18"/>
      <c r="B4039" s="24"/>
      <c r="C4039" s="2"/>
      <c r="D4039" s="16"/>
      <c r="E4039" s="16"/>
      <c r="F4039" s="16"/>
      <c r="G4039" s="16"/>
      <c r="H4039" s="16"/>
      <c r="I4039" s="16"/>
      <c r="J4039" s="16"/>
      <c r="K4039" s="16"/>
      <c r="L4039" s="16"/>
      <c r="M4039" s="16"/>
      <c r="N4039" s="16"/>
      <c r="O4039" s="16"/>
      <c r="P4039" s="16"/>
      <c r="Q4039" s="16"/>
      <c r="R4039" s="16"/>
      <c r="S4039" s="16"/>
      <c r="T4039" s="16"/>
      <c r="U4039" s="16"/>
      <c r="V4039" s="16"/>
      <c r="W4039" s="16"/>
      <c r="X4039" s="16"/>
      <c r="Y4039" s="16"/>
      <c r="Z4039" s="16"/>
    </row>
    <row r="4040" spans="1:26" ht="15.6" x14ac:dyDescent="0.3">
      <c r="A4040" s="18"/>
      <c r="B4040" s="24"/>
      <c r="C4040" s="2"/>
      <c r="D4040" s="16"/>
      <c r="E4040" s="16"/>
      <c r="F4040" s="16"/>
      <c r="G4040" s="16"/>
      <c r="H4040" s="16"/>
      <c r="I4040" s="16"/>
      <c r="J4040" s="16"/>
      <c r="K4040" s="16"/>
      <c r="L4040" s="16"/>
      <c r="M4040" s="16"/>
      <c r="N4040" s="16"/>
      <c r="O4040" s="16"/>
      <c r="P4040" s="16"/>
      <c r="Q4040" s="16"/>
      <c r="R4040" s="16"/>
      <c r="S4040" s="16"/>
      <c r="T4040" s="16"/>
      <c r="U4040" s="16"/>
      <c r="V4040" s="16"/>
      <c r="W4040" s="16"/>
      <c r="X4040" s="16"/>
      <c r="Y4040" s="16"/>
      <c r="Z4040" s="16"/>
    </row>
    <row r="4041" spans="1:26" ht="15.6" x14ac:dyDescent="0.3">
      <c r="A4041" s="18"/>
      <c r="B4041" s="24"/>
      <c r="C4041" s="2"/>
      <c r="D4041" s="16"/>
      <c r="E4041" s="16"/>
      <c r="F4041" s="16"/>
      <c r="G4041" s="16"/>
      <c r="H4041" s="16"/>
      <c r="I4041" s="16"/>
      <c r="J4041" s="16"/>
      <c r="K4041" s="16"/>
      <c r="L4041" s="16"/>
      <c r="M4041" s="16"/>
      <c r="N4041" s="16"/>
      <c r="O4041" s="16"/>
      <c r="P4041" s="16"/>
      <c r="Q4041" s="16"/>
      <c r="R4041" s="16"/>
      <c r="S4041" s="16"/>
      <c r="T4041" s="16"/>
      <c r="U4041" s="16"/>
      <c r="V4041" s="16"/>
      <c r="W4041" s="16"/>
      <c r="X4041" s="16"/>
      <c r="Y4041" s="16"/>
      <c r="Z4041" s="16"/>
    </row>
    <row r="4042" spans="1:26" ht="15.6" x14ac:dyDescent="0.3">
      <c r="A4042" s="18"/>
      <c r="B4042" s="24"/>
      <c r="C4042" s="2"/>
      <c r="D4042" s="16"/>
      <c r="E4042" s="16"/>
      <c r="F4042" s="16"/>
      <c r="G4042" s="16"/>
      <c r="H4042" s="16"/>
      <c r="I4042" s="16"/>
      <c r="J4042" s="16"/>
      <c r="K4042" s="16"/>
      <c r="L4042" s="16"/>
      <c r="M4042" s="16"/>
      <c r="N4042" s="16"/>
      <c r="O4042" s="16"/>
      <c r="P4042" s="16"/>
      <c r="Q4042" s="16"/>
      <c r="R4042" s="16"/>
      <c r="S4042" s="16"/>
      <c r="T4042" s="16"/>
      <c r="U4042" s="16"/>
      <c r="V4042" s="16"/>
      <c r="W4042" s="16"/>
      <c r="X4042" s="16"/>
      <c r="Y4042" s="16"/>
      <c r="Z4042" s="16"/>
    </row>
    <row r="4043" spans="1:26" ht="15.6" x14ac:dyDescent="0.3">
      <c r="A4043" s="18"/>
      <c r="B4043" s="24"/>
      <c r="C4043" s="2"/>
      <c r="D4043" s="16"/>
      <c r="E4043" s="16"/>
      <c r="F4043" s="16"/>
      <c r="G4043" s="16"/>
      <c r="H4043" s="16"/>
      <c r="I4043" s="16"/>
      <c r="J4043" s="16"/>
      <c r="K4043" s="16"/>
      <c r="L4043" s="16"/>
      <c r="M4043" s="16"/>
      <c r="N4043" s="16"/>
      <c r="O4043" s="16"/>
      <c r="P4043" s="16"/>
      <c r="Q4043" s="16"/>
      <c r="R4043" s="16"/>
      <c r="S4043" s="16"/>
      <c r="T4043" s="16"/>
      <c r="U4043" s="16"/>
      <c r="V4043" s="16"/>
      <c r="W4043" s="16"/>
      <c r="X4043" s="16"/>
      <c r="Y4043" s="16"/>
      <c r="Z4043" s="16"/>
    </row>
    <row r="4044" spans="1:26" ht="15.6" x14ac:dyDescent="0.3">
      <c r="A4044" s="18"/>
      <c r="B4044" s="24"/>
      <c r="C4044" s="2"/>
      <c r="D4044" s="16"/>
      <c r="E4044" s="16"/>
      <c r="F4044" s="16"/>
      <c r="G4044" s="16"/>
      <c r="H4044" s="16"/>
      <c r="I4044" s="16"/>
      <c r="J4044" s="16"/>
      <c r="K4044" s="16"/>
      <c r="L4044" s="16"/>
      <c r="M4044" s="16"/>
      <c r="N4044" s="16"/>
      <c r="O4044" s="16"/>
      <c r="P4044" s="16"/>
      <c r="Q4044" s="16"/>
      <c r="R4044" s="16"/>
      <c r="S4044" s="16"/>
      <c r="T4044" s="16"/>
      <c r="U4044" s="16"/>
      <c r="V4044" s="16"/>
      <c r="W4044" s="16"/>
      <c r="X4044" s="16"/>
      <c r="Y4044" s="16"/>
      <c r="Z4044" s="16"/>
    </row>
    <row r="4045" spans="1:26" ht="15.6" x14ac:dyDescent="0.3">
      <c r="A4045" s="18"/>
      <c r="B4045" s="24"/>
      <c r="C4045" s="2"/>
      <c r="D4045" s="16"/>
      <c r="E4045" s="16"/>
      <c r="F4045" s="16"/>
      <c r="G4045" s="16"/>
      <c r="H4045" s="16"/>
      <c r="I4045" s="16"/>
      <c r="J4045" s="16"/>
      <c r="K4045" s="16"/>
      <c r="L4045" s="16"/>
      <c r="M4045" s="16"/>
      <c r="N4045" s="16"/>
      <c r="O4045" s="16"/>
      <c r="P4045" s="16"/>
      <c r="Q4045" s="16"/>
      <c r="R4045" s="16"/>
      <c r="S4045" s="16"/>
      <c r="T4045" s="16"/>
      <c r="U4045" s="16"/>
      <c r="V4045" s="16"/>
      <c r="W4045" s="16"/>
      <c r="X4045" s="16"/>
      <c r="Y4045" s="16"/>
      <c r="Z4045" s="16"/>
    </row>
    <row r="4046" spans="1:26" ht="15.6" x14ac:dyDescent="0.3">
      <c r="A4046" s="18"/>
      <c r="B4046" s="24"/>
      <c r="C4046" s="2"/>
      <c r="D4046" s="16"/>
      <c r="E4046" s="16"/>
      <c r="F4046" s="16"/>
      <c r="G4046" s="16"/>
      <c r="H4046" s="16"/>
      <c r="I4046" s="16"/>
      <c r="J4046" s="16"/>
      <c r="K4046" s="16"/>
      <c r="L4046" s="16"/>
      <c r="M4046" s="16"/>
      <c r="N4046" s="16"/>
      <c r="O4046" s="16"/>
      <c r="P4046" s="16"/>
      <c r="Q4046" s="16"/>
      <c r="R4046" s="16"/>
      <c r="S4046" s="16"/>
      <c r="T4046" s="16"/>
      <c r="U4046" s="16"/>
      <c r="V4046" s="16"/>
      <c r="W4046" s="16"/>
      <c r="X4046" s="16"/>
      <c r="Y4046" s="16"/>
      <c r="Z4046" s="16"/>
    </row>
    <row r="4047" spans="1:26" ht="15.6" x14ac:dyDescent="0.3">
      <c r="A4047" s="18"/>
      <c r="B4047" s="24"/>
      <c r="C4047" s="2"/>
      <c r="D4047" s="16"/>
      <c r="E4047" s="16"/>
      <c r="F4047" s="16"/>
      <c r="G4047" s="16"/>
      <c r="H4047" s="16"/>
      <c r="I4047" s="16"/>
      <c r="J4047" s="16"/>
      <c r="K4047" s="16"/>
      <c r="L4047" s="16"/>
      <c r="M4047" s="16"/>
      <c r="N4047" s="16"/>
      <c r="O4047" s="16"/>
      <c r="P4047" s="16"/>
      <c r="Q4047" s="16"/>
      <c r="R4047" s="16"/>
      <c r="S4047" s="16"/>
      <c r="T4047" s="16"/>
      <c r="U4047" s="16"/>
      <c r="V4047" s="16"/>
      <c r="W4047" s="16"/>
      <c r="X4047" s="16"/>
      <c r="Y4047" s="16"/>
      <c r="Z4047" s="16"/>
    </row>
    <row r="4048" spans="1:26" ht="15.6" x14ac:dyDescent="0.3">
      <c r="A4048" s="18"/>
      <c r="B4048" s="24"/>
      <c r="C4048" s="2"/>
      <c r="D4048" s="16"/>
      <c r="E4048" s="16"/>
      <c r="F4048" s="16"/>
      <c r="G4048" s="16"/>
      <c r="H4048" s="16"/>
      <c r="I4048" s="16"/>
      <c r="J4048" s="16"/>
      <c r="K4048" s="16"/>
      <c r="L4048" s="16"/>
      <c r="M4048" s="16"/>
      <c r="N4048" s="16"/>
      <c r="O4048" s="16"/>
      <c r="P4048" s="16"/>
      <c r="Q4048" s="16"/>
      <c r="R4048" s="16"/>
      <c r="S4048" s="16"/>
      <c r="T4048" s="16"/>
      <c r="U4048" s="16"/>
      <c r="V4048" s="16"/>
      <c r="W4048" s="16"/>
      <c r="X4048" s="16"/>
      <c r="Y4048" s="16"/>
      <c r="Z4048" s="16"/>
    </row>
    <row r="4049" spans="1:26" ht="15.6" x14ac:dyDescent="0.3">
      <c r="A4049" s="18"/>
      <c r="B4049" s="24"/>
      <c r="C4049" s="2"/>
      <c r="D4049" s="16"/>
      <c r="E4049" s="16"/>
      <c r="F4049" s="16"/>
      <c r="G4049" s="16"/>
      <c r="H4049" s="16"/>
      <c r="I4049" s="16"/>
      <c r="J4049" s="16"/>
      <c r="K4049" s="16"/>
      <c r="L4049" s="16"/>
      <c r="M4049" s="16"/>
      <c r="N4049" s="16"/>
      <c r="O4049" s="16"/>
      <c r="P4049" s="16"/>
      <c r="Q4049" s="16"/>
      <c r="R4049" s="16"/>
      <c r="S4049" s="16"/>
      <c r="T4049" s="16"/>
      <c r="U4049" s="16"/>
      <c r="V4049" s="16"/>
      <c r="W4049" s="16"/>
      <c r="X4049" s="16"/>
      <c r="Y4049" s="16"/>
      <c r="Z4049" s="16"/>
    </row>
    <row r="4050" spans="1:26" ht="15.6" x14ac:dyDescent="0.3">
      <c r="A4050" s="18"/>
      <c r="B4050" s="24"/>
      <c r="C4050" s="2"/>
      <c r="D4050" s="16"/>
      <c r="E4050" s="16"/>
      <c r="F4050" s="16"/>
      <c r="G4050" s="16"/>
      <c r="H4050" s="16"/>
      <c r="I4050" s="16"/>
      <c r="J4050" s="16"/>
      <c r="K4050" s="16"/>
      <c r="L4050" s="16"/>
      <c r="M4050" s="16"/>
      <c r="N4050" s="16"/>
      <c r="O4050" s="16"/>
      <c r="P4050" s="16"/>
      <c r="Q4050" s="16"/>
      <c r="R4050" s="16"/>
      <c r="S4050" s="16"/>
      <c r="T4050" s="16"/>
      <c r="U4050" s="16"/>
      <c r="V4050" s="16"/>
      <c r="W4050" s="16"/>
      <c r="X4050" s="16"/>
      <c r="Y4050" s="16"/>
      <c r="Z4050" s="16"/>
    </row>
    <row r="4051" spans="1:26" ht="15.6" x14ac:dyDescent="0.3">
      <c r="A4051" s="18"/>
      <c r="B4051" s="24"/>
      <c r="C4051" s="2"/>
      <c r="D4051" s="16"/>
      <c r="E4051" s="16"/>
      <c r="F4051" s="16"/>
      <c r="G4051" s="16"/>
      <c r="H4051" s="16"/>
      <c r="I4051" s="16"/>
      <c r="J4051" s="16"/>
      <c r="K4051" s="16"/>
      <c r="L4051" s="16"/>
      <c r="M4051" s="16"/>
      <c r="N4051" s="16"/>
      <c r="O4051" s="16"/>
      <c r="P4051" s="16"/>
      <c r="Q4051" s="16"/>
      <c r="R4051" s="16"/>
      <c r="S4051" s="16"/>
      <c r="T4051" s="16"/>
      <c r="U4051" s="16"/>
      <c r="V4051" s="16"/>
      <c r="W4051" s="16"/>
      <c r="X4051" s="16"/>
      <c r="Y4051" s="16"/>
      <c r="Z4051" s="16"/>
    </row>
    <row r="4052" spans="1:26" ht="15.6" x14ac:dyDescent="0.3">
      <c r="A4052" s="18"/>
      <c r="B4052" s="24"/>
      <c r="C4052" s="2"/>
      <c r="D4052" s="16"/>
      <c r="E4052" s="16"/>
      <c r="F4052" s="16"/>
      <c r="G4052" s="16"/>
      <c r="H4052" s="16"/>
      <c r="I4052" s="16"/>
      <c r="J4052" s="16"/>
      <c r="K4052" s="16"/>
      <c r="L4052" s="16"/>
      <c r="M4052" s="16"/>
      <c r="N4052" s="16"/>
      <c r="O4052" s="16"/>
      <c r="P4052" s="16"/>
      <c r="Q4052" s="16"/>
      <c r="R4052" s="16"/>
      <c r="S4052" s="16"/>
      <c r="T4052" s="16"/>
      <c r="U4052" s="16"/>
      <c r="V4052" s="16"/>
      <c r="W4052" s="16"/>
      <c r="X4052" s="16"/>
      <c r="Y4052" s="16"/>
      <c r="Z4052" s="16"/>
    </row>
    <row r="4053" spans="1:26" ht="15.6" x14ac:dyDescent="0.3">
      <c r="A4053" s="18"/>
      <c r="B4053" s="24"/>
      <c r="C4053" s="2"/>
      <c r="D4053" s="16"/>
      <c r="E4053" s="16"/>
      <c r="F4053" s="16"/>
      <c r="G4053" s="16"/>
      <c r="H4053" s="16"/>
      <c r="I4053" s="16"/>
      <c r="J4053" s="16"/>
      <c r="K4053" s="16"/>
      <c r="L4053" s="16"/>
      <c r="M4053" s="16"/>
      <c r="N4053" s="16"/>
      <c r="O4053" s="16"/>
      <c r="P4053" s="16"/>
      <c r="Q4053" s="16"/>
      <c r="R4053" s="16"/>
      <c r="S4053" s="16"/>
      <c r="T4053" s="16"/>
      <c r="U4053" s="16"/>
      <c r="V4053" s="16"/>
      <c r="W4053" s="16"/>
      <c r="X4053" s="16"/>
      <c r="Y4053" s="16"/>
      <c r="Z4053" s="16"/>
    </row>
    <row r="4054" spans="1:26" ht="15.6" x14ac:dyDescent="0.3">
      <c r="A4054" s="18"/>
      <c r="B4054" s="24"/>
      <c r="C4054" s="2"/>
      <c r="D4054" s="16"/>
      <c r="E4054" s="16"/>
      <c r="F4054" s="16"/>
      <c r="G4054" s="16"/>
      <c r="H4054" s="16"/>
      <c r="I4054" s="16"/>
      <c r="J4054" s="16"/>
      <c r="K4054" s="16"/>
      <c r="L4054" s="16"/>
      <c r="M4054" s="16"/>
      <c r="N4054" s="16"/>
      <c r="O4054" s="16"/>
      <c r="P4054" s="16"/>
      <c r="Q4054" s="16"/>
      <c r="R4054" s="16"/>
      <c r="S4054" s="16"/>
      <c r="T4054" s="16"/>
      <c r="U4054" s="16"/>
      <c r="V4054" s="16"/>
      <c r="W4054" s="16"/>
      <c r="X4054" s="16"/>
      <c r="Y4054" s="16"/>
      <c r="Z4054" s="16"/>
    </row>
    <row r="4055" spans="1:26" ht="15.6" x14ac:dyDescent="0.3">
      <c r="A4055" s="18"/>
      <c r="B4055" s="24"/>
      <c r="C4055" s="2"/>
      <c r="D4055" s="16"/>
      <c r="E4055" s="16"/>
      <c r="F4055" s="16"/>
      <c r="G4055" s="16"/>
      <c r="H4055" s="16"/>
      <c r="I4055" s="16"/>
      <c r="J4055" s="16"/>
      <c r="K4055" s="16"/>
      <c r="L4055" s="16"/>
      <c r="M4055" s="16"/>
      <c r="N4055" s="16"/>
      <c r="O4055" s="16"/>
      <c r="P4055" s="16"/>
      <c r="Q4055" s="16"/>
      <c r="R4055" s="16"/>
      <c r="S4055" s="16"/>
      <c r="T4055" s="16"/>
      <c r="U4055" s="16"/>
      <c r="V4055" s="16"/>
      <c r="W4055" s="16"/>
      <c r="X4055" s="16"/>
      <c r="Y4055" s="16"/>
      <c r="Z4055" s="16"/>
    </row>
    <row r="4056" spans="1:26" ht="15.6" x14ac:dyDescent="0.3">
      <c r="A4056" s="18"/>
      <c r="B4056" s="24"/>
      <c r="C4056" s="2"/>
      <c r="D4056" s="16"/>
      <c r="E4056" s="16"/>
      <c r="F4056" s="16"/>
      <c r="G4056" s="16"/>
      <c r="H4056" s="16"/>
      <c r="I4056" s="16"/>
      <c r="J4056" s="16"/>
      <c r="K4056" s="16"/>
      <c r="L4056" s="16"/>
      <c r="M4056" s="16"/>
      <c r="N4056" s="16"/>
      <c r="O4056" s="16"/>
      <c r="P4056" s="16"/>
      <c r="Q4056" s="16"/>
      <c r="R4056" s="16"/>
      <c r="S4056" s="16"/>
      <c r="T4056" s="16"/>
      <c r="U4056" s="16"/>
      <c r="V4056" s="16"/>
      <c r="W4056" s="16"/>
      <c r="X4056" s="16"/>
      <c r="Y4056" s="16"/>
      <c r="Z4056" s="16"/>
    </row>
    <row r="4057" spans="1:26" ht="15.6" x14ac:dyDescent="0.3">
      <c r="A4057" s="18"/>
      <c r="B4057" s="24"/>
      <c r="C4057" s="2"/>
      <c r="D4057" s="16"/>
      <c r="E4057" s="16"/>
      <c r="F4057" s="16"/>
      <c r="G4057" s="16"/>
      <c r="H4057" s="16"/>
      <c r="I4057" s="16"/>
      <c r="J4057" s="16"/>
      <c r="K4057" s="16"/>
      <c r="L4057" s="16"/>
      <c r="M4057" s="16"/>
      <c r="N4057" s="16"/>
      <c r="O4057" s="16"/>
      <c r="P4057" s="16"/>
      <c r="Q4057" s="16"/>
      <c r="R4057" s="16"/>
      <c r="S4057" s="16"/>
      <c r="T4057" s="16"/>
      <c r="U4057" s="16"/>
      <c r="V4057" s="16"/>
      <c r="W4057" s="16"/>
      <c r="X4057" s="16"/>
      <c r="Y4057" s="16"/>
      <c r="Z4057" s="16"/>
    </row>
    <row r="4058" spans="1:26" ht="15.6" x14ac:dyDescent="0.3">
      <c r="A4058" s="18"/>
      <c r="B4058" s="24"/>
      <c r="C4058" s="2"/>
      <c r="D4058" s="16"/>
      <c r="E4058" s="16"/>
      <c r="F4058" s="16"/>
      <c r="G4058" s="16"/>
      <c r="H4058" s="16"/>
      <c r="I4058" s="16"/>
      <c r="J4058" s="16"/>
      <c r="K4058" s="16"/>
      <c r="L4058" s="16"/>
      <c r="M4058" s="16"/>
      <c r="N4058" s="16"/>
      <c r="O4058" s="16"/>
      <c r="P4058" s="16"/>
      <c r="Q4058" s="16"/>
      <c r="R4058" s="16"/>
      <c r="S4058" s="16"/>
      <c r="T4058" s="16"/>
      <c r="U4058" s="16"/>
      <c r="V4058" s="16"/>
      <c r="W4058" s="16"/>
      <c r="X4058" s="16"/>
      <c r="Y4058" s="16"/>
      <c r="Z4058" s="16"/>
    </row>
    <row r="4059" spans="1:26" ht="15.6" x14ac:dyDescent="0.3">
      <c r="A4059" s="18"/>
      <c r="B4059" s="24"/>
      <c r="C4059" s="2"/>
      <c r="D4059" s="16"/>
      <c r="E4059" s="16"/>
      <c r="F4059" s="16"/>
      <c r="G4059" s="16"/>
      <c r="H4059" s="16"/>
      <c r="I4059" s="16"/>
      <c r="J4059" s="16"/>
      <c r="K4059" s="16"/>
      <c r="L4059" s="16"/>
      <c r="M4059" s="16"/>
      <c r="N4059" s="16"/>
      <c r="O4059" s="16"/>
      <c r="P4059" s="16"/>
      <c r="Q4059" s="16"/>
      <c r="R4059" s="16"/>
      <c r="S4059" s="16"/>
      <c r="T4059" s="16"/>
      <c r="U4059" s="16"/>
      <c r="V4059" s="16"/>
      <c r="W4059" s="16"/>
      <c r="X4059" s="16"/>
      <c r="Y4059" s="16"/>
      <c r="Z4059" s="16"/>
    </row>
    <row r="4060" spans="1:26" ht="15.6" x14ac:dyDescent="0.3">
      <c r="A4060" s="18"/>
      <c r="B4060" s="24"/>
      <c r="C4060" s="2"/>
      <c r="D4060" s="16"/>
      <c r="E4060" s="16"/>
      <c r="F4060" s="16"/>
      <c r="G4060" s="16"/>
      <c r="H4060" s="16"/>
      <c r="I4060" s="16"/>
      <c r="J4060" s="16"/>
      <c r="K4060" s="16"/>
      <c r="L4060" s="16"/>
      <c r="M4060" s="16"/>
      <c r="N4060" s="16"/>
      <c r="O4060" s="16"/>
      <c r="P4060" s="16"/>
      <c r="Q4060" s="16"/>
      <c r="R4060" s="16"/>
      <c r="S4060" s="16"/>
      <c r="T4060" s="16"/>
      <c r="U4060" s="16"/>
      <c r="V4060" s="16"/>
      <c r="W4060" s="16"/>
      <c r="X4060" s="16"/>
      <c r="Y4060" s="16"/>
      <c r="Z4060" s="16"/>
    </row>
    <row r="4061" spans="1:26" ht="15.6" x14ac:dyDescent="0.3">
      <c r="A4061" s="18"/>
      <c r="B4061" s="24"/>
      <c r="C4061" s="2"/>
      <c r="D4061" s="16"/>
      <c r="E4061" s="16"/>
      <c r="F4061" s="16"/>
      <c r="G4061" s="16"/>
      <c r="H4061" s="16"/>
      <c r="I4061" s="16"/>
      <c r="J4061" s="16"/>
      <c r="K4061" s="16"/>
      <c r="L4061" s="16"/>
      <c r="M4061" s="16"/>
      <c r="N4061" s="16"/>
      <c r="O4061" s="16"/>
      <c r="P4061" s="16"/>
      <c r="Q4061" s="16"/>
      <c r="R4061" s="16"/>
      <c r="S4061" s="16"/>
      <c r="T4061" s="16"/>
      <c r="U4061" s="16"/>
      <c r="V4061" s="16"/>
      <c r="W4061" s="16"/>
      <c r="X4061" s="16"/>
      <c r="Y4061" s="16"/>
      <c r="Z4061" s="16"/>
    </row>
    <row r="4062" spans="1:26" ht="15.6" x14ac:dyDescent="0.3">
      <c r="A4062" s="18"/>
      <c r="B4062" s="24"/>
      <c r="C4062" s="2"/>
      <c r="D4062" s="16"/>
      <c r="E4062" s="16"/>
      <c r="F4062" s="16"/>
      <c r="G4062" s="16"/>
      <c r="H4062" s="16"/>
      <c r="I4062" s="16"/>
      <c r="J4062" s="16"/>
      <c r="K4062" s="16"/>
      <c r="L4062" s="16"/>
      <c r="M4062" s="16"/>
      <c r="N4062" s="16"/>
      <c r="O4062" s="16"/>
      <c r="P4062" s="16"/>
      <c r="Q4062" s="16"/>
      <c r="R4062" s="16"/>
      <c r="S4062" s="16"/>
      <c r="T4062" s="16"/>
      <c r="U4062" s="16"/>
      <c r="V4062" s="16"/>
      <c r="W4062" s="16"/>
      <c r="X4062" s="16"/>
      <c r="Y4062" s="16"/>
      <c r="Z4062" s="16"/>
    </row>
    <row r="4063" spans="1:26" ht="15.6" x14ac:dyDescent="0.3">
      <c r="A4063" s="18"/>
      <c r="B4063" s="24"/>
      <c r="C4063" s="2"/>
      <c r="D4063" s="16"/>
      <c r="E4063" s="16"/>
      <c r="F4063" s="16"/>
      <c r="G4063" s="16"/>
      <c r="H4063" s="16"/>
      <c r="I4063" s="16"/>
      <c r="J4063" s="16"/>
      <c r="K4063" s="16"/>
      <c r="L4063" s="16"/>
      <c r="M4063" s="16"/>
      <c r="N4063" s="16"/>
      <c r="O4063" s="16"/>
      <c r="P4063" s="16"/>
      <c r="Q4063" s="16"/>
      <c r="R4063" s="16"/>
      <c r="S4063" s="16"/>
      <c r="T4063" s="16"/>
      <c r="U4063" s="16"/>
      <c r="V4063" s="16"/>
      <c r="W4063" s="16"/>
      <c r="X4063" s="16"/>
      <c r="Y4063" s="16"/>
      <c r="Z4063" s="16"/>
    </row>
    <row r="4064" spans="1:26" ht="15.6" x14ac:dyDescent="0.3">
      <c r="A4064" s="18"/>
      <c r="B4064" s="24"/>
      <c r="C4064" s="2"/>
      <c r="D4064" s="16"/>
      <c r="E4064" s="16"/>
      <c r="F4064" s="16"/>
      <c r="G4064" s="16"/>
      <c r="H4064" s="16"/>
      <c r="I4064" s="16"/>
      <c r="J4064" s="16"/>
      <c r="K4064" s="16"/>
      <c r="L4064" s="16"/>
      <c r="M4064" s="16"/>
      <c r="N4064" s="16"/>
      <c r="O4064" s="16"/>
      <c r="P4064" s="16"/>
      <c r="Q4064" s="16"/>
      <c r="R4064" s="16"/>
      <c r="S4064" s="16"/>
      <c r="T4064" s="16"/>
      <c r="U4064" s="16"/>
      <c r="V4064" s="16"/>
      <c r="W4064" s="16"/>
      <c r="X4064" s="16"/>
      <c r="Y4064" s="16"/>
      <c r="Z4064" s="16"/>
    </row>
    <row r="4065" spans="1:26" ht="15.6" x14ac:dyDescent="0.3">
      <c r="A4065" s="18"/>
      <c r="B4065" s="24"/>
      <c r="C4065" s="2"/>
      <c r="D4065" s="16"/>
      <c r="E4065" s="16"/>
      <c r="F4065" s="16"/>
      <c r="G4065" s="16"/>
      <c r="H4065" s="16"/>
      <c r="I4065" s="16"/>
      <c r="J4065" s="16"/>
      <c r="K4065" s="16"/>
      <c r="L4065" s="16"/>
      <c r="M4065" s="16"/>
      <c r="N4065" s="16"/>
      <c r="O4065" s="16"/>
      <c r="P4065" s="16"/>
      <c r="Q4065" s="16"/>
      <c r="R4065" s="16"/>
      <c r="S4065" s="16"/>
      <c r="T4065" s="16"/>
      <c r="U4065" s="16"/>
      <c r="V4065" s="16"/>
      <c r="W4065" s="16"/>
      <c r="X4065" s="16"/>
      <c r="Y4065" s="16"/>
      <c r="Z4065" s="16"/>
    </row>
    <row r="4066" spans="1:26" ht="15.6" x14ac:dyDescent="0.3">
      <c r="A4066" s="18"/>
      <c r="B4066" s="24"/>
      <c r="C4066" s="2"/>
      <c r="D4066" s="16"/>
      <c r="E4066" s="16"/>
      <c r="F4066" s="16"/>
      <c r="G4066" s="16"/>
      <c r="H4066" s="16"/>
      <c r="I4066" s="16"/>
      <c r="J4066" s="16"/>
      <c r="K4066" s="16"/>
      <c r="L4066" s="16"/>
      <c r="M4066" s="16"/>
      <c r="N4066" s="16"/>
      <c r="O4066" s="16"/>
      <c r="P4066" s="16"/>
      <c r="Q4066" s="16"/>
      <c r="R4066" s="16"/>
      <c r="S4066" s="16"/>
      <c r="T4066" s="16"/>
      <c r="U4066" s="16"/>
      <c r="V4066" s="16"/>
      <c r="W4066" s="16"/>
      <c r="X4066" s="16"/>
      <c r="Y4066" s="16"/>
      <c r="Z4066" s="16"/>
    </row>
    <row r="4067" spans="1:26" ht="15.6" x14ac:dyDescent="0.3">
      <c r="A4067" s="18"/>
      <c r="B4067" s="24"/>
      <c r="C4067" s="2"/>
      <c r="D4067" s="16"/>
      <c r="E4067" s="16"/>
      <c r="F4067" s="16"/>
      <c r="G4067" s="16"/>
      <c r="H4067" s="16"/>
      <c r="I4067" s="16"/>
      <c r="J4067" s="16"/>
      <c r="K4067" s="16"/>
      <c r="L4067" s="16"/>
      <c r="M4067" s="16"/>
      <c r="N4067" s="16"/>
      <c r="O4067" s="16"/>
      <c r="P4067" s="16"/>
      <c r="Q4067" s="16"/>
      <c r="R4067" s="16"/>
      <c r="S4067" s="16"/>
      <c r="T4067" s="16"/>
      <c r="U4067" s="16"/>
      <c r="V4067" s="16"/>
      <c r="W4067" s="16"/>
      <c r="X4067" s="16"/>
      <c r="Y4067" s="16"/>
      <c r="Z4067" s="16"/>
    </row>
    <row r="4068" spans="1:26" ht="15.6" x14ac:dyDescent="0.3">
      <c r="A4068" s="18"/>
      <c r="B4068" s="24"/>
      <c r="C4068" s="2"/>
      <c r="D4068" s="16"/>
      <c r="E4068" s="16"/>
      <c r="F4068" s="16"/>
      <c r="G4068" s="16"/>
      <c r="H4068" s="16"/>
      <c r="I4068" s="16"/>
      <c r="J4068" s="16"/>
      <c r="K4068" s="16"/>
      <c r="L4068" s="16"/>
      <c r="M4068" s="16"/>
      <c r="N4068" s="16"/>
      <c r="O4068" s="16"/>
      <c r="P4068" s="16"/>
      <c r="Q4068" s="16"/>
      <c r="R4068" s="16"/>
      <c r="S4068" s="16"/>
      <c r="T4068" s="16"/>
      <c r="U4068" s="16"/>
      <c r="V4068" s="16"/>
      <c r="W4068" s="16"/>
      <c r="X4068" s="16"/>
      <c r="Y4068" s="16"/>
      <c r="Z4068" s="16"/>
    </row>
    <row r="4069" spans="1:26" ht="15.6" x14ac:dyDescent="0.3">
      <c r="A4069" s="18"/>
      <c r="B4069" s="24"/>
      <c r="C4069" s="2"/>
      <c r="D4069" s="16"/>
      <c r="E4069" s="16"/>
      <c r="F4069" s="16"/>
      <c r="G4069" s="16"/>
      <c r="H4069" s="16"/>
      <c r="I4069" s="16"/>
      <c r="J4069" s="16"/>
      <c r="K4069" s="16"/>
      <c r="L4069" s="16"/>
      <c r="M4069" s="16"/>
      <c r="N4069" s="16"/>
      <c r="O4069" s="16"/>
      <c r="P4069" s="16"/>
      <c r="Q4069" s="16"/>
      <c r="R4069" s="16"/>
      <c r="S4069" s="16"/>
      <c r="T4069" s="16"/>
      <c r="U4069" s="16"/>
      <c r="V4069" s="16"/>
      <c r="W4069" s="16"/>
      <c r="X4069" s="16"/>
      <c r="Y4069" s="16"/>
      <c r="Z4069" s="16"/>
    </row>
    <row r="4070" spans="1:26" ht="15.6" x14ac:dyDescent="0.3">
      <c r="A4070" s="18"/>
      <c r="B4070" s="24"/>
      <c r="C4070" s="2"/>
      <c r="D4070" s="16"/>
      <c r="E4070" s="16"/>
      <c r="F4070" s="16"/>
      <c r="G4070" s="16"/>
      <c r="H4070" s="16"/>
      <c r="I4070" s="16"/>
      <c r="J4070" s="16"/>
      <c r="K4070" s="16"/>
      <c r="L4070" s="16"/>
      <c r="M4070" s="16"/>
      <c r="N4070" s="16"/>
      <c r="O4070" s="16"/>
      <c r="P4070" s="16"/>
      <c r="Q4070" s="16"/>
      <c r="R4070" s="16"/>
      <c r="S4070" s="16"/>
      <c r="T4070" s="16"/>
      <c r="U4070" s="16"/>
      <c r="V4070" s="16"/>
      <c r="W4070" s="16"/>
      <c r="X4070" s="16"/>
      <c r="Y4070" s="16"/>
      <c r="Z4070" s="16"/>
    </row>
    <row r="4071" spans="1:26" ht="15.6" x14ac:dyDescent="0.3">
      <c r="A4071" s="18"/>
      <c r="B4071" s="24"/>
      <c r="C4071" s="2"/>
      <c r="D4071" s="16"/>
      <c r="E4071" s="16"/>
      <c r="F4071" s="16"/>
      <c r="G4071" s="16"/>
      <c r="H4071" s="16"/>
      <c r="I4071" s="16"/>
      <c r="J4071" s="16"/>
      <c r="K4071" s="16"/>
      <c r="L4071" s="16"/>
      <c r="M4071" s="16"/>
      <c r="N4071" s="16"/>
      <c r="O4071" s="16"/>
      <c r="P4071" s="16"/>
      <c r="Q4071" s="16"/>
      <c r="R4071" s="16"/>
      <c r="S4071" s="16"/>
      <c r="T4071" s="16"/>
      <c r="U4071" s="16"/>
      <c r="V4071" s="16"/>
      <c r="W4071" s="16"/>
      <c r="X4071" s="16"/>
      <c r="Y4071" s="16"/>
      <c r="Z4071" s="16"/>
    </row>
    <row r="4072" spans="1:26" ht="15.6" x14ac:dyDescent="0.3">
      <c r="A4072" s="18"/>
      <c r="B4072" s="24"/>
      <c r="C4072" s="2"/>
      <c r="D4072" s="16"/>
      <c r="E4072" s="16"/>
      <c r="F4072" s="16"/>
      <c r="G4072" s="16"/>
      <c r="H4072" s="16"/>
      <c r="I4072" s="16"/>
      <c r="J4072" s="16"/>
      <c r="K4072" s="16"/>
      <c r="L4072" s="16"/>
      <c r="M4072" s="16"/>
      <c r="N4072" s="16"/>
      <c r="O4072" s="16"/>
      <c r="P4072" s="16"/>
      <c r="Q4072" s="16"/>
      <c r="R4072" s="16"/>
      <c r="S4072" s="16"/>
      <c r="T4072" s="16"/>
      <c r="U4072" s="16"/>
      <c r="V4072" s="16"/>
      <c r="W4072" s="16"/>
      <c r="X4072" s="16"/>
      <c r="Y4072" s="16"/>
      <c r="Z4072" s="16"/>
    </row>
    <row r="4073" spans="1:26" ht="15.6" x14ac:dyDescent="0.3">
      <c r="A4073" s="18"/>
      <c r="B4073" s="24"/>
      <c r="C4073" s="2"/>
      <c r="D4073" s="16"/>
      <c r="E4073" s="16"/>
      <c r="F4073" s="16"/>
      <c r="G4073" s="16"/>
      <c r="H4073" s="16"/>
      <c r="I4073" s="16"/>
      <c r="J4073" s="16"/>
      <c r="K4073" s="16"/>
      <c r="L4073" s="16"/>
      <c r="M4073" s="16"/>
      <c r="N4073" s="16"/>
      <c r="O4073" s="16"/>
      <c r="P4073" s="16"/>
      <c r="Q4073" s="16"/>
      <c r="R4073" s="16"/>
      <c r="S4073" s="16"/>
      <c r="T4073" s="16"/>
      <c r="U4073" s="16"/>
      <c r="V4073" s="16"/>
      <c r="W4073" s="16"/>
      <c r="X4073" s="16"/>
      <c r="Y4073" s="16"/>
      <c r="Z4073" s="16"/>
    </row>
    <row r="4074" spans="1:26" ht="15.6" x14ac:dyDescent="0.3">
      <c r="A4074" s="18"/>
      <c r="B4074" s="24"/>
      <c r="C4074" s="2"/>
      <c r="D4074" s="16"/>
      <c r="E4074" s="16"/>
      <c r="F4074" s="16"/>
      <c r="G4074" s="16"/>
      <c r="H4074" s="16"/>
      <c r="I4074" s="16"/>
      <c r="J4074" s="16"/>
      <c r="K4074" s="16"/>
      <c r="L4074" s="16"/>
      <c r="M4074" s="16"/>
      <c r="N4074" s="16"/>
      <c r="O4074" s="16"/>
      <c r="P4074" s="16"/>
      <c r="Q4074" s="16"/>
      <c r="R4074" s="16"/>
      <c r="S4074" s="16"/>
      <c r="T4074" s="16"/>
      <c r="U4074" s="16"/>
      <c r="V4074" s="16"/>
      <c r="W4074" s="16"/>
      <c r="X4074" s="16"/>
      <c r="Y4074" s="16"/>
      <c r="Z4074" s="16"/>
    </row>
    <row r="4075" spans="1:26" ht="15.6" x14ac:dyDescent="0.3">
      <c r="A4075" s="18"/>
      <c r="B4075" s="24"/>
      <c r="C4075" s="2"/>
      <c r="D4075" s="16"/>
      <c r="E4075" s="16"/>
      <c r="F4075" s="16"/>
      <c r="G4075" s="16"/>
      <c r="H4075" s="16"/>
      <c r="I4075" s="16"/>
      <c r="J4075" s="16"/>
      <c r="K4075" s="16"/>
      <c r="L4075" s="16"/>
      <c r="M4075" s="16"/>
      <c r="N4075" s="16"/>
      <c r="O4075" s="16"/>
      <c r="P4075" s="16"/>
      <c r="Q4075" s="16"/>
      <c r="R4075" s="16"/>
      <c r="S4075" s="16"/>
      <c r="T4075" s="16"/>
      <c r="U4075" s="16"/>
      <c r="V4075" s="16"/>
      <c r="W4075" s="16"/>
      <c r="X4075" s="16"/>
      <c r="Y4075" s="16"/>
      <c r="Z4075" s="16"/>
    </row>
    <row r="4076" spans="1:26" ht="15.6" x14ac:dyDescent="0.3">
      <c r="A4076" s="18"/>
      <c r="B4076" s="24"/>
      <c r="C4076" s="2"/>
      <c r="D4076" s="16"/>
      <c r="E4076" s="16"/>
      <c r="F4076" s="16"/>
      <c r="G4076" s="16"/>
      <c r="H4076" s="16"/>
      <c r="I4076" s="16"/>
      <c r="J4076" s="16"/>
      <c r="K4076" s="16"/>
      <c r="L4076" s="16"/>
      <c r="M4076" s="16"/>
      <c r="N4076" s="16"/>
      <c r="O4076" s="16"/>
      <c r="P4076" s="16"/>
      <c r="Q4076" s="16"/>
      <c r="R4076" s="16"/>
      <c r="S4076" s="16"/>
      <c r="T4076" s="16"/>
      <c r="U4076" s="16"/>
      <c r="V4076" s="16"/>
      <c r="W4076" s="16"/>
      <c r="X4076" s="16"/>
      <c r="Y4076" s="16"/>
      <c r="Z4076" s="16"/>
    </row>
    <row r="4077" spans="1:26" ht="15.6" x14ac:dyDescent="0.3">
      <c r="A4077" s="18"/>
      <c r="B4077" s="24"/>
      <c r="C4077" s="2"/>
      <c r="D4077" s="16"/>
      <c r="E4077" s="16"/>
      <c r="F4077" s="16"/>
      <c r="G4077" s="16"/>
      <c r="H4077" s="16"/>
      <c r="I4077" s="16"/>
      <c r="J4077" s="16"/>
      <c r="K4077" s="16"/>
      <c r="L4077" s="16"/>
      <c r="M4077" s="16"/>
      <c r="N4077" s="16"/>
      <c r="O4077" s="16"/>
      <c r="P4077" s="16"/>
      <c r="Q4077" s="16"/>
      <c r="R4077" s="16"/>
      <c r="S4077" s="16"/>
      <c r="T4077" s="16"/>
      <c r="U4077" s="16"/>
      <c r="V4077" s="16"/>
      <c r="W4077" s="16"/>
      <c r="X4077" s="16"/>
      <c r="Y4077" s="16"/>
      <c r="Z4077" s="16"/>
    </row>
    <row r="4078" spans="1:26" ht="15.6" x14ac:dyDescent="0.3">
      <c r="A4078" s="18"/>
      <c r="B4078" s="24"/>
      <c r="C4078" s="2"/>
      <c r="D4078" s="16"/>
      <c r="E4078" s="16"/>
      <c r="F4078" s="16"/>
      <c r="G4078" s="16"/>
      <c r="H4078" s="16"/>
      <c r="I4078" s="16"/>
      <c r="J4078" s="16"/>
      <c r="K4078" s="16"/>
      <c r="L4078" s="16"/>
      <c r="M4078" s="16"/>
      <c r="N4078" s="16"/>
      <c r="O4078" s="16"/>
      <c r="P4078" s="16"/>
      <c r="Q4078" s="16"/>
      <c r="R4078" s="16"/>
      <c r="S4078" s="16"/>
      <c r="T4078" s="16"/>
      <c r="U4078" s="16"/>
      <c r="V4078" s="16"/>
      <c r="W4078" s="16"/>
      <c r="X4078" s="16"/>
      <c r="Y4078" s="16"/>
      <c r="Z4078" s="16"/>
    </row>
    <row r="4079" spans="1:26" ht="15.6" x14ac:dyDescent="0.3">
      <c r="A4079" s="18"/>
      <c r="B4079" s="24"/>
      <c r="C4079" s="2"/>
      <c r="D4079" s="16"/>
      <c r="E4079" s="16"/>
      <c r="F4079" s="16"/>
      <c r="G4079" s="16"/>
      <c r="H4079" s="16"/>
      <c r="I4079" s="16"/>
      <c r="J4079" s="16"/>
      <c r="K4079" s="16"/>
      <c r="L4079" s="16"/>
      <c r="M4079" s="16"/>
      <c r="N4079" s="16"/>
      <c r="O4079" s="16"/>
      <c r="P4079" s="16"/>
      <c r="Q4079" s="16"/>
      <c r="R4079" s="16"/>
      <c r="S4079" s="16"/>
      <c r="T4079" s="16"/>
      <c r="U4079" s="16"/>
      <c r="V4079" s="16"/>
      <c r="W4079" s="16"/>
      <c r="X4079" s="16"/>
      <c r="Y4079" s="16"/>
      <c r="Z4079" s="16"/>
    </row>
    <row r="4080" spans="1:26" ht="15.6" x14ac:dyDescent="0.3">
      <c r="A4080" s="18"/>
      <c r="B4080" s="24"/>
      <c r="C4080" s="2"/>
      <c r="D4080" s="16"/>
      <c r="E4080" s="16"/>
      <c r="F4080" s="16"/>
      <c r="G4080" s="16"/>
      <c r="H4080" s="16"/>
      <c r="I4080" s="16"/>
      <c r="J4080" s="16"/>
      <c r="K4080" s="16"/>
      <c r="L4080" s="16"/>
      <c r="M4080" s="16"/>
      <c r="N4080" s="16"/>
      <c r="O4080" s="16"/>
      <c r="P4080" s="16"/>
      <c r="Q4080" s="16"/>
      <c r="R4080" s="16"/>
      <c r="S4080" s="16"/>
      <c r="T4080" s="16"/>
      <c r="U4080" s="16"/>
      <c r="V4080" s="16"/>
      <c r="W4080" s="16"/>
      <c r="X4080" s="16"/>
      <c r="Y4080" s="16"/>
      <c r="Z4080" s="16"/>
    </row>
    <row r="4081" spans="1:26" ht="15.6" x14ac:dyDescent="0.3">
      <c r="A4081" s="18"/>
      <c r="B4081" s="24"/>
      <c r="C4081" s="2"/>
      <c r="D4081" s="16"/>
      <c r="E4081" s="16"/>
      <c r="F4081" s="16"/>
      <c r="G4081" s="16"/>
      <c r="H4081" s="16"/>
      <c r="I4081" s="16"/>
      <c r="J4081" s="16"/>
      <c r="K4081" s="16"/>
      <c r="L4081" s="16"/>
      <c r="M4081" s="16"/>
      <c r="N4081" s="16"/>
      <c r="O4081" s="16"/>
      <c r="P4081" s="16"/>
      <c r="Q4081" s="16"/>
      <c r="R4081" s="16"/>
      <c r="S4081" s="16"/>
      <c r="T4081" s="16"/>
      <c r="U4081" s="16"/>
      <c r="V4081" s="16"/>
      <c r="W4081" s="16"/>
      <c r="X4081" s="16"/>
      <c r="Y4081" s="16"/>
      <c r="Z4081" s="16"/>
    </row>
    <row r="4082" spans="1:26" ht="15.6" x14ac:dyDescent="0.3">
      <c r="A4082" s="18"/>
      <c r="B4082" s="24"/>
      <c r="C4082" s="2"/>
      <c r="D4082" s="16"/>
      <c r="E4082" s="16"/>
      <c r="F4082" s="16"/>
      <c r="G4082" s="16"/>
      <c r="H4082" s="16"/>
      <c r="I4082" s="16"/>
      <c r="J4082" s="16"/>
      <c r="K4082" s="16"/>
      <c r="L4082" s="16"/>
      <c r="M4082" s="16"/>
      <c r="N4082" s="16"/>
      <c r="O4082" s="16"/>
      <c r="P4082" s="16"/>
      <c r="Q4082" s="16"/>
      <c r="R4082" s="16"/>
      <c r="S4082" s="16"/>
      <c r="T4082" s="16"/>
      <c r="U4082" s="16"/>
      <c r="V4082" s="16"/>
      <c r="W4082" s="16"/>
      <c r="X4082" s="16"/>
      <c r="Y4082" s="16"/>
      <c r="Z4082" s="16"/>
    </row>
    <row r="4083" spans="1:26" ht="15.6" x14ac:dyDescent="0.3">
      <c r="A4083" s="18"/>
      <c r="B4083" s="24"/>
      <c r="C4083" s="2"/>
      <c r="D4083" s="16"/>
      <c r="E4083" s="16"/>
      <c r="F4083" s="16"/>
      <c r="G4083" s="16"/>
      <c r="H4083" s="16"/>
      <c r="I4083" s="16"/>
      <c r="J4083" s="16"/>
      <c r="K4083" s="16"/>
      <c r="L4083" s="16"/>
      <c r="M4083" s="16"/>
      <c r="N4083" s="16"/>
      <c r="O4083" s="16"/>
      <c r="P4083" s="16"/>
      <c r="Q4083" s="16"/>
      <c r="R4083" s="16"/>
      <c r="S4083" s="16"/>
      <c r="T4083" s="16"/>
      <c r="U4083" s="16"/>
      <c r="V4083" s="16"/>
      <c r="W4083" s="16"/>
      <c r="X4083" s="16"/>
      <c r="Y4083" s="16"/>
      <c r="Z4083" s="16"/>
    </row>
    <row r="4084" spans="1:26" ht="15.6" x14ac:dyDescent="0.3">
      <c r="A4084" s="18"/>
      <c r="B4084" s="24"/>
      <c r="C4084" s="2"/>
      <c r="D4084" s="16"/>
      <c r="E4084" s="16"/>
      <c r="F4084" s="16"/>
      <c r="G4084" s="16"/>
      <c r="H4084" s="16"/>
      <c r="I4084" s="16"/>
      <c r="J4084" s="16"/>
      <c r="K4084" s="16"/>
      <c r="L4084" s="16"/>
      <c r="M4084" s="16"/>
      <c r="N4084" s="16"/>
      <c r="O4084" s="16"/>
      <c r="P4084" s="16"/>
      <c r="Q4084" s="16"/>
      <c r="R4084" s="16"/>
      <c r="S4084" s="16"/>
      <c r="T4084" s="16"/>
      <c r="U4084" s="16"/>
      <c r="V4084" s="16"/>
      <c r="W4084" s="16"/>
      <c r="X4084" s="16"/>
      <c r="Y4084" s="16"/>
      <c r="Z4084" s="16"/>
    </row>
    <row r="4085" spans="1:26" ht="15.6" x14ac:dyDescent="0.3">
      <c r="A4085" s="18"/>
      <c r="B4085" s="24"/>
      <c r="C4085" s="2"/>
      <c r="D4085" s="16"/>
      <c r="E4085" s="16"/>
      <c r="F4085" s="16"/>
      <c r="G4085" s="16"/>
      <c r="H4085" s="16"/>
      <c r="I4085" s="16"/>
      <c r="J4085" s="16"/>
      <c r="K4085" s="16"/>
      <c r="L4085" s="16"/>
      <c r="M4085" s="16"/>
      <c r="N4085" s="16"/>
      <c r="O4085" s="16"/>
      <c r="P4085" s="16"/>
      <c r="Q4085" s="16"/>
      <c r="R4085" s="16"/>
      <c r="S4085" s="16"/>
      <c r="T4085" s="16"/>
      <c r="U4085" s="16"/>
      <c r="V4085" s="16"/>
      <c r="W4085" s="16"/>
      <c r="X4085" s="16"/>
      <c r="Y4085" s="16"/>
      <c r="Z4085" s="16"/>
    </row>
    <row r="4086" spans="1:26" ht="15.6" x14ac:dyDescent="0.3">
      <c r="A4086" s="18"/>
      <c r="B4086" s="24"/>
      <c r="C4086" s="2"/>
      <c r="D4086" s="16"/>
      <c r="E4086" s="16"/>
      <c r="F4086" s="16"/>
      <c r="G4086" s="16"/>
      <c r="H4086" s="16"/>
      <c r="I4086" s="16"/>
      <c r="J4086" s="16"/>
      <c r="K4086" s="16"/>
      <c r="L4086" s="16"/>
      <c r="M4086" s="16"/>
      <c r="N4086" s="16"/>
      <c r="O4086" s="16"/>
      <c r="P4086" s="16"/>
      <c r="Q4086" s="16"/>
      <c r="R4086" s="16"/>
      <c r="S4086" s="16"/>
      <c r="T4086" s="16"/>
      <c r="U4086" s="16"/>
      <c r="V4086" s="16"/>
      <c r="W4086" s="16"/>
      <c r="X4086" s="16"/>
      <c r="Y4086" s="16"/>
      <c r="Z4086" s="16"/>
    </row>
    <row r="4087" spans="1:26" ht="15.6" x14ac:dyDescent="0.3">
      <c r="A4087" s="18"/>
      <c r="B4087" s="24"/>
      <c r="C4087" s="2"/>
      <c r="D4087" s="16"/>
      <c r="E4087" s="16"/>
      <c r="F4087" s="16"/>
      <c r="G4087" s="16"/>
      <c r="H4087" s="16"/>
      <c r="I4087" s="16"/>
      <c r="J4087" s="16"/>
      <c r="K4087" s="16"/>
      <c r="L4087" s="16"/>
      <c r="M4087" s="16"/>
      <c r="N4087" s="16"/>
      <c r="O4087" s="16"/>
      <c r="P4087" s="16"/>
      <c r="Q4087" s="16"/>
      <c r="R4087" s="16"/>
      <c r="S4087" s="16"/>
      <c r="T4087" s="16"/>
      <c r="U4087" s="16"/>
      <c r="V4087" s="16"/>
      <c r="W4087" s="16"/>
      <c r="X4087" s="16"/>
      <c r="Y4087" s="16"/>
      <c r="Z4087" s="16"/>
    </row>
    <row r="4088" spans="1:26" ht="15.6" x14ac:dyDescent="0.3">
      <c r="A4088" s="18"/>
      <c r="B4088" s="24"/>
      <c r="C4088" s="2"/>
      <c r="D4088" s="16"/>
      <c r="E4088" s="16"/>
      <c r="F4088" s="16"/>
      <c r="G4088" s="16"/>
      <c r="H4088" s="16"/>
      <c r="I4088" s="16"/>
      <c r="J4088" s="16"/>
      <c r="K4088" s="16"/>
      <c r="L4088" s="16"/>
      <c r="M4088" s="16"/>
      <c r="N4088" s="16"/>
      <c r="O4088" s="16"/>
      <c r="P4088" s="16"/>
      <c r="Q4088" s="16"/>
      <c r="R4088" s="16"/>
      <c r="S4088" s="16"/>
      <c r="T4088" s="16"/>
      <c r="U4088" s="16"/>
      <c r="V4088" s="16"/>
      <c r="W4088" s="16"/>
      <c r="X4088" s="16"/>
      <c r="Y4088" s="16"/>
      <c r="Z4088" s="16"/>
    </row>
    <row r="4089" spans="1:26" ht="15.6" x14ac:dyDescent="0.3">
      <c r="A4089" s="18"/>
      <c r="B4089" s="24"/>
      <c r="C4089" s="2"/>
      <c r="D4089" s="16"/>
      <c r="E4089" s="16"/>
      <c r="F4089" s="16"/>
      <c r="G4089" s="16"/>
      <c r="H4089" s="16"/>
      <c r="I4089" s="16"/>
      <c r="J4089" s="16"/>
      <c r="K4089" s="16"/>
      <c r="L4089" s="16"/>
      <c r="M4089" s="16"/>
      <c r="N4089" s="16"/>
      <c r="O4089" s="16"/>
      <c r="P4089" s="16"/>
      <c r="Q4089" s="16"/>
      <c r="R4089" s="16"/>
      <c r="S4089" s="16"/>
      <c r="T4089" s="16"/>
      <c r="U4089" s="16"/>
      <c r="V4089" s="16"/>
      <c r="W4089" s="16"/>
      <c r="X4089" s="16"/>
      <c r="Y4089" s="16"/>
      <c r="Z4089" s="16"/>
    </row>
    <row r="4090" spans="1:26" ht="15.6" x14ac:dyDescent="0.3">
      <c r="A4090" s="18"/>
      <c r="B4090" s="24"/>
      <c r="C4090" s="2"/>
      <c r="D4090" s="16"/>
      <c r="E4090" s="16"/>
      <c r="F4090" s="16"/>
      <c r="G4090" s="16"/>
      <c r="H4090" s="16"/>
      <c r="I4090" s="16"/>
      <c r="J4090" s="16"/>
      <c r="K4090" s="16"/>
      <c r="L4090" s="16"/>
      <c r="M4090" s="16"/>
      <c r="N4090" s="16"/>
      <c r="O4090" s="16"/>
      <c r="P4090" s="16"/>
      <c r="Q4090" s="16"/>
      <c r="R4090" s="16"/>
      <c r="S4090" s="16"/>
      <c r="T4090" s="16"/>
      <c r="U4090" s="16"/>
      <c r="V4090" s="16"/>
      <c r="W4090" s="16"/>
      <c r="X4090" s="16"/>
      <c r="Y4090" s="16"/>
      <c r="Z4090" s="16"/>
    </row>
    <row r="4091" spans="1:26" ht="15.6" x14ac:dyDescent="0.3">
      <c r="A4091" s="18"/>
      <c r="B4091" s="24"/>
      <c r="C4091" s="2"/>
      <c r="D4091" s="16"/>
      <c r="E4091" s="16"/>
      <c r="F4091" s="16"/>
      <c r="G4091" s="16"/>
      <c r="H4091" s="16"/>
      <c r="I4091" s="16"/>
      <c r="J4091" s="16"/>
      <c r="K4091" s="16"/>
      <c r="L4091" s="16"/>
      <c r="M4091" s="16"/>
      <c r="N4091" s="16"/>
      <c r="O4091" s="16"/>
      <c r="P4091" s="16"/>
      <c r="Q4091" s="16"/>
      <c r="R4091" s="16"/>
      <c r="S4091" s="16"/>
      <c r="T4091" s="16"/>
      <c r="U4091" s="16"/>
      <c r="V4091" s="16"/>
      <c r="W4091" s="16"/>
      <c r="X4091" s="16"/>
      <c r="Y4091" s="16"/>
      <c r="Z4091" s="16"/>
    </row>
    <row r="4092" spans="1:26" ht="15.6" x14ac:dyDescent="0.3">
      <c r="A4092" s="18"/>
      <c r="B4092" s="24"/>
      <c r="C4092" s="2"/>
      <c r="D4092" s="16"/>
      <c r="E4092" s="16"/>
      <c r="F4092" s="16"/>
      <c r="G4092" s="16"/>
      <c r="H4092" s="16"/>
      <c r="I4092" s="16"/>
      <c r="J4092" s="16"/>
      <c r="K4092" s="16"/>
      <c r="L4092" s="16"/>
      <c r="M4092" s="16"/>
      <c r="N4092" s="16"/>
      <c r="O4092" s="16"/>
      <c r="P4092" s="16"/>
      <c r="Q4092" s="16"/>
      <c r="R4092" s="16"/>
      <c r="S4092" s="16"/>
      <c r="T4092" s="16"/>
      <c r="U4092" s="16"/>
      <c r="V4092" s="16"/>
      <c r="W4092" s="16"/>
      <c r="X4092" s="16"/>
      <c r="Y4092" s="16"/>
      <c r="Z4092" s="16"/>
    </row>
    <row r="4093" spans="1:26" ht="15.6" x14ac:dyDescent="0.3">
      <c r="A4093" s="18"/>
      <c r="B4093" s="24"/>
      <c r="C4093" s="2"/>
      <c r="D4093" s="16"/>
      <c r="E4093" s="16"/>
      <c r="F4093" s="16"/>
      <c r="G4093" s="16"/>
      <c r="H4093" s="16"/>
      <c r="I4093" s="16"/>
      <c r="J4093" s="16"/>
      <c r="K4093" s="16"/>
      <c r="L4093" s="16"/>
      <c r="M4093" s="16"/>
      <c r="N4093" s="16"/>
      <c r="O4093" s="16"/>
      <c r="P4093" s="16"/>
      <c r="Q4093" s="16"/>
      <c r="R4093" s="16"/>
      <c r="S4093" s="16"/>
      <c r="T4093" s="16"/>
      <c r="U4093" s="16"/>
      <c r="V4093" s="16"/>
      <c r="W4093" s="16"/>
      <c r="X4093" s="16"/>
      <c r="Y4093" s="16"/>
      <c r="Z4093" s="16"/>
    </row>
    <row r="4094" spans="1:26" ht="15.6" x14ac:dyDescent="0.3">
      <c r="A4094" s="18"/>
      <c r="B4094" s="24"/>
      <c r="C4094" s="2"/>
      <c r="D4094" s="16"/>
      <c r="E4094" s="16"/>
      <c r="F4094" s="16"/>
      <c r="G4094" s="16"/>
      <c r="H4094" s="16"/>
      <c r="I4094" s="16"/>
      <c r="J4094" s="16"/>
      <c r="K4094" s="16"/>
      <c r="L4094" s="16"/>
      <c r="M4094" s="16"/>
      <c r="N4094" s="16"/>
      <c r="O4094" s="16"/>
      <c r="P4094" s="16"/>
      <c r="Q4094" s="16"/>
      <c r="R4094" s="16"/>
      <c r="S4094" s="16"/>
      <c r="T4094" s="16"/>
      <c r="U4094" s="16"/>
      <c r="V4094" s="16"/>
      <c r="W4094" s="16"/>
      <c r="X4094" s="16"/>
      <c r="Y4094" s="16"/>
      <c r="Z4094" s="16"/>
    </row>
    <row r="4095" spans="1:26" ht="15.6" x14ac:dyDescent="0.3">
      <c r="A4095" s="18"/>
      <c r="B4095" s="24"/>
      <c r="C4095" s="2"/>
      <c r="D4095" s="16"/>
      <c r="E4095" s="16"/>
      <c r="F4095" s="16"/>
      <c r="G4095" s="16"/>
      <c r="H4095" s="16"/>
      <c r="I4095" s="16"/>
      <c r="J4095" s="16"/>
      <c r="K4095" s="16"/>
      <c r="L4095" s="16"/>
      <c r="M4095" s="16"/>
      <c r="N4095" s="16"/>
      <c r="O4095" s="16"/>
      <c r="P4095" s="16"/>
      <c r="Q4095" s="16"/>
      <c r="R4095" s="16"/>
      <c r="S4095" s="16"/>
      <c r="T4095" s="16"/>
      <c r="U4095" s="16"/>
      <c r="V4095" s="16"/>
      <c r="W4095" s="16"/>
      <c r="X4095" s="16"/>
      <c r="Y4095" s="16"/>
      <c r="Z4095" s="16"/>
    </row>
    <row r="4096" spans="1:26" ht="15.6" x14ac:dyDescent="0.3">
      <c r="A4096" s="18"/>
      <c r="B4096" s="24"/>
      <c r="C4096" s="15"/>
      <c r="D4096" s="16"/>
      <c r="E4096" s="16"/>
      <c r="F4096" s="16"/>
      <c r="G4096" s="16"/>
      <c r="H4096" s="16"/>
      <c r="I4096" s="16"/>
      <c r="J4096" s="16"/>
      <c r="K4096" s="16"/>
      <c r="L4096" s="16"/>
      <c r="M4096" s="16"/>
      <c r="N4096" s="16"/>
      <c r="O4096" s="16"/>
      <c r="P4096" s="16"/>
      <c r="Q4096" s="16"/>
      <c r="R4096" s="16"/>
      <c r="S4096" s="16"/>
      <c r="T4096" s="16"/>
      <c r="U4096" s="16"/>
      <c r="V4096" s="16"/>
      <c r="W4096" s="16"/>
      <c r="X4096" s="16"/>
      <c r="Y4096" s="16"/>
      <c r="Z4096" s="16"/>
    </row>
    <row r="4097" spans="1:26" ht="15.6" x14ac:dyDescent="0.3">
      <c r="A4097" s="18"/>
      <c r="B4097" s="24"/>
      <c r="C4097" s="15"/>
      <c r="D4097" s="16"/>
      <c r="E4097" s="16"/>
      <c r="F4097" s="16"/>
      <c r="G4097" s="16"/>
      <c r="H4097" s="16"/>
      <c r="I4097" s="16"/>
      <c r="J4097" s="16"/>
      <c r="K4097" s="16"/>
      <c r="L4097" s="16"/>
      <c r="M4097" s="16"/>
      <c r="N4097" s="16"/>
      <c r="O4097" s="16"/>
      <c r="P4097" s="16"/>
      <c r="Q4097" s="16"/>
      <c r="R4097" s="16"/>
      <c r="S4097" s="16"/>
      <c r="T4097" s="16"/>
      <c r="U4097" s="16"/>
      <c r="V4097" s="16"/>
      <c r="W4097" s="16"/>
      <c r="X4097" s="16"/>
      <c r="Y4097" s="16"/>
      <c r="Z4097" s="16"/>
    </row>
    <row r="4098" spans="1:26" ht="15.6" x14ac:dyDescent="0.3">
      <c r="A4098" s="18"/>
      <c r="B4098" s="24"/>
      <c r="C4098" s="15"/>
      <c r="D4098" s="16"/>
      <c r="E4098" s="16"/>
      <c r="F4098" s="16"/>
      <c r="G4098" s="16"/>
      <c r="H4098" s="16"/>
      <c r="I4098" s="16"/>
      <c r="J4098" s="16"/>
      <c r="K4098" s="16"/>
      <c r="L4098" s="16"/>
      <c r="M4098" s="16"/>
      <c r="N4098" s="16"/>
      <c r="O4098" s="16"/>
      <c r="P4098" s="16"/>
      <c r="Q4098" s="16"/>
      <c r="R4098" s="16"/>
      <c r="S4098" s="16"/>
      <c r="T4098" s="16"/>
      <c r="U4098" s="16"/>
      <c r="V4098" s="16"/>
      <c r="W4098" s="16"/>
      <c r="X4098" s="16"/>
      <c r="Y4098" s="16"/>
      <c r="Z4098" s="16"/>
    </row>
    <row r="4099" spans="1:26" ht="15.6" x14ac:dyDescent="0.3">
      <c r="A4099" s="18"/>
      <c r="B4099" s="24"/>
      <c r="C4099" s="15"/>
      <c r="D4099" s="16"/>
      <c r="E4099" s="16"/>
      <c r="F4099" s="16"/>
      <c r="G4099" s="16"/>
      <c r="H4099" s="16"/>
      <c r="I4099" s="16"/>
      <c r="J4099" s="16"/>
      <c r="K4099" s="16"/>
      <c r="L4099" s="16"/>
      <c r="M4099" s="16"/>
      <c r="N4099" s="16"/>
      <c r="O4099" s="16"/>
      <c r="P4099" s="16"/>
      <c r="Q4099" s="16"/>
      <c r="R4099" s="16"/>
      <c r="S4099" s="16"/>
      <c r="T4099" s="16"/>
      <c r="U4099" s="16"/>
      <c r="V4099" s="16"/>
      <c r="W4099" s="16"/>
      <c r="X4099" s="16"/>
      <c r="Y4099" s="16"/>
      <c r="Z4099" s="16"/>
    </row>
    <row r="4100" spans="1:26" ht="15.6" x14ac:dyDescent="0.3">
      <c r="A4100" s="18"/>
      <c r="B4100" s="24"/>
      <c r="C4100" s="15"/>
      <c r="D4100" s="16"/>
      <c r="E4100" s="16"/>
      <c r="F4100" s="16"/>
      <c r="G4100" s="16"/>
      <c r="H4100" s="16"/>
      <c r="I4100" s="16"/>
      <c r="J4100" s="16"/>
      <c r="K4100" s="16"/>
      <c r="L4100" s="16"/>
      <c r="M4100" s="16"/>
      <c r="N4100" s="16"/>
      <c r="O4100" s="16"/>
      <c r="P4100" s="16"/>
      <c r="Q4100" s="16"/>
      <c r="R4100" s="16"/>
      <c r="S4100" s="16"/>
      <c r="T4100" s="16"/>
      <c r="U4100" s="16"/>
      <c r="V4100" s="16"/>
      <c r="W4100" s="16"/>
      <c r="X4100" s="16"/>
      <c r="Y4100" s="16"/>
      <c r="Z4100" s="16"/>
    </row>
    <row r="4101" spans="1:26" ht="15.6" x14ac:dyDescent="0.3">
      <c r="A4101" s="18"/>
      <c r="B4101" s="24"/>
      <c r="C4101" s="15"/>
      <c r="D4101" s="16"/>
      <c r="E4101" s="16"/>
      <c r="F4101" s="16"/>
      <c r="G4101" s="16"/>
      <c r="H4101" s="16"/>
      <c r="I4101" s="16"/>
      <c r="J4101" s="16"/>
      <c r="K4101" s="16"/>
      <c r="L4101" s="16"/>
      <c r="M4101" s="16"/>
      <c r="N4101" s="16"/>
      <c r="O4101" s="16"/>
      <c r="P4101" s="16"/>
      <c r="Q4101" s="16"/>
      <c r="R4101" s="16"/>
      <c r="S4101" s="16"/>
      <c r="T4101" s="16"/>
      <c r="U4101" s="16"/>
      <c r="V4101" s="16"/>
      <c r="W4101" s="16"/>
      <c r="X4101" s="16"/>
      <c r="Y4101" s="16"/>
      <c r="Z4101" s="16"/>
    </row>
    <row r="4102" spans="1:26" ht="15.6" x14ac:dyDescent="0.3">
      <c r="A4102" s="18"/>
      <c r="B4102" s="24"/>
      <c r="C4102" s="15"/>
      <c r="D4102" s="16"/>
      <c r="E4102" s="16"/>
      <c r="F4102" s="16"/>
      <c r="G4102" s="16"/>
      <c r="H4102" s="16"/>
      <c r="I4102" s="16"/>
      <c r="J4102" s="16"/>
      <c r="K4102" s="16"/>
      <c r="L4102" s="16"/>
      <c r="M4102" s="16"/>
      <c r="N4102" s="16"/>
      <c r="O4102" s="16"/>
      <c r="P4102" s="16"/>
      <c r="Q4102" s="16"/>
      <c r="R4102" s="16"/>
      <c r="S4102" s="16"/>
      <c r="T4102" s="16"/>
      <c r="U4102" s="16"/>
      <c r="V4102" s="16"/>
      <c r="W4102" s="16"/>
      <c r="X4102" s="16"/>
      <c r="Y4102" s="16"/>
      <c r="Z4102" s="16"/>
    </row>
    <row r="4103" spans="1:26" ht="15.6" x14ac:dyDescent="0.3">
      <c r="A4103" s="18"/>
      <c r="B4103" s="24"/>
      <c r="C4103" s="15"/>
      <c r="D4103" s="16"/>
      <c r="E4103" s="16"/>
      <c r="F4103" s="16"/>
      <c r="G4103" s="16"/>
      <c r="H4103" s="16"/>
      <c r="I4103" s="16"/>
      <c r="J4103" s="16"/>
      <c r="K4103" s="16"/>
      <c r="L4103" s="16"/>
      <c r="M4103" s="16"/>
      <c r="N4103" s="16"/>
      <c r="O4103" s="16"/>
      <c r="P4103" s="16"/>
      <c r="Q4103" s="16"/>
      <c r="R4103" s="16"/>
      <c r="S4103" s="16"/>
      <c r="T4103" s="16"/>
      <c r="U4103" s="16"/>
      <c r="V4103" s="16"/>
      <c r="W4103" s="16"/>
      <c r="X4103" s="16"/>
      <c r="Y4103" s="16"/>
      <c r="Z4103" s="16"/>
    </row>
    <row r="4104" spans="1:26" ht="15.6" x14ac:dyDescent="0.3">
      <c r="A4104" s="18"/>
      <c r="B4104" s="24"/>
      <c r="C4104" s="15"/>
      <c r="D4104" s="16"/>
      <c r="E4104" s="16"/>
      <c r="F4104" s="16"/>
      <c r="G4104" s="16"/>
      <c r="H4104" s="16"/>
      <c r="I4104" s="16"/>
      <c r="J4104" s="16"/>
      <c r="K4104" s="16"/>
      <c r="L4104" s="16"/>
      <c r="M4104" s="16"/>
      <c r="N4104" s="16"/>
      <c r="O4104" s="16"/>
      <c r="P4104" s="16"/>
      <c r="Q4104" s="16"/>
      <c r="R4104" s="16"/>
      <c r="S4104" s="16"/>
      <c r="T4104" s="16"/>
      <c r="U4104" s="16"/>
      <c r="V4104" s="16"/>
      <c r="W4104" s="16"/>
      <c r="X4104" s="16"/>
      <c r="Y4104" s="16"/>
      <c r="Z4104" s="16"/>
    </row>
    <row r="4105" spans="1:26" ht="15.6" x14ac:dyDescent="0.3">
      <c r="A4105" s="18"/>
      <c r="B4105" s="24"/>
      <c r="C4105" s="15"/>
      <c r="D4105" s="16"/>
      <c r="E4105" s="16"/>
      <c r="F4105" s="16"/>
      <c r="G4105" s="16"/>
      <c r="H4105" s="16"/>
      <c r="I4105" s="16"/>
      <c r="J4105" s="16"/>
      <c r="K4105" s="16"/>
      <c r="L4105" s="16"/>
      <c r="M4105" s="16"/>
      <c r="N4105" s="16"/>
      <c r="O4105" s="16"/>
      <c r="P4105" s="16"/>
      <c r="Q4105" s="16"/>
      <c r="R4105" s="16"/>
      <c r="S4105" s="16"/>
      <c r="T4105" s="16"/>
      <c r="U4105" s="16"/>
      <c r="V4105" s="16"/>
      <c r="W4105" s="16"/>
      <c r="X4105" s="16"/>
      <c r="Y4105" s="16"/>
      <c r="Z4105" s="16"/>
    </row>
    <row r="4106" spans="1:26" ht="15.6" x14ac:dyDescent="0.3">
      <c r="A4106" s="18"/>
      <c r="B4106" s="24"/>
      <c r="C4106" s="15"/>
      <c r="D4106" s="16"/>
      <c r="E4106" s="16"/>
      <c r="F4106" s="16"/>
      <c r="G4106" s="16"/>
      <c r="H4106" s="16"/>
      <c r="I4106" s="16"/>
      <c r="J4106" s="16"/>
      <c r="K4106" s="16"/>
      <c r="L4106" s="16"/>
      <c r="M4106" s="16"/>
      <c r="N4106" s="16"/>
      <c r="O4106" s="16"/>
      <c r="P4106" s="16"/>
      <c r="Q4106" s="16"/>
      <c r="R4106" s="16"/>
      <c r="S4106" s="16"/>
      <c r="T4106" s="16"/>
      <c r="U4106" s="16"/>
      <c r="V4106" s="16"/>
      <c r="W4106" s="16"/>
      <c r="X4106" s="16"/>
      <c r="Y4106" s="16"/>
      <c r="Z4106" s="16"/>
    </row>
    <row r="4107" spans="1:26" ht="15.6" x14ac:dyDescent="0.3">
      <c r="A4107" s="18"/>
      <c r="B4107" s="24"/>
      <c r="C4107" s="15"/>
      <c r="D4107" s="16"/>
      <c r="E4107" s="16"/>
      <c r="F4107" s="16"/>
      <c r="G4107" s="16"/>
      <c r="H4107" s="16"/>
      <c r="I4107" s="16"/>
      <c r="J4107" s="16"/>
      <c r="K4107" s="16"/>
      <c r="L4107" s="16"/>
      <c r="M4107" s="16"/>
      <c r="N4107" s="16"/>
      <c r="O4107" s="16"/>
      <c r="P4107" s="16"/>
      <c r="Q4107" s="16"/>
      <c r="R4107" s="16"/>
      <c r="S4107" s="16"/>
      <c r="T4107" s="16"/>
      <c r="U4107" s="16"/>
      <c r="V4107" s="16"/>
      <c r="W4107" s="16"/>
      <c r="X4107" s="16"/>
      <c r="Y4107" s="16"/>
      <c r="Z4107" s="16"/>
    </row>
    <row r="4108" spans="1:26" ht="15.6" x14ac:dyDescent="0.3">
      <c r="A4108" s="18"/>
      <c r="B4108" s="24"/>
      <c r="C4108" s="15"/>
      <c r="D4108" s="16"/>
      <c r="E4108" s="16"/>
      <c r="F4108" s="16"/>
      <c r="G4108" s="16"/>
      <c r="H4108" s="16"/>
      <c r="I4108" s="16"/>
      <c r="J4108" s="16"/>
      <c r="K4108" s="16"/>
      <c r="L4108" s="16"/>
      <c r="M4108" s="16"/>
      <c r="N4108" s="16"/>
      <c r="O4108" s="16"/>
      <c r="P4108" s="16"/>
      <c r="Q4108" s="16"/>
      <c r="R4108" s="16"/>
      <c r="S4108" s="16"/>
      <c r="T4108" s="16"/>
      <c r="U4108" s="16"/>
      <c r="V4108" s="16"/>
      <c r="W4108" s="16"/>
      <c r="X4108" s="16"/>
      <c r="Y4108" s="16"/>
      <c r="Z4108" s="16"/>
    </row>
    <row r="4109" spans="1:26" ht="15.6" x14ac:dyDescent="0.3">
      <c r="A4109" s="18"/>
      <c r="B4109" s="24"/>
      <c r="C4109" s="15"/>
      <c r="D4109" s="16"/>
      <c r="E4109" s="16"/>
      <c r="F4109" s="16"/>
      <c r="G4109" s="16"/>
      <c r="H4109" s="16"/>
      <c r="I4109" s="16"/>
      <c r="J4109" s="16"/>
      <c r="K4109" s="16"/>
      <c r="L4109" s="16"/>
      <c r="M4109" s="16"/>
      <c r="N4109" s="16"/>
      <c r="O4109" s="16"/>
      <c r="P4109" s="16"/>
      <c r="Q4109" s="16"/>
      <c r="R4109" s="16"/>
      <c r="S4109" s="16"/>
      <c r="T4109" s="16"/>
      <c r="U4109" s="16"/>
      <c r="V4109" s="16"/>
      <c r="W4109" s="16"/>
      <c r="X4109" s="16"/>
      <c r="Y4109" s="16"/>
      <c r="Z4109" s="16"/>
    </row>
    <row r="4110" spans="1:26" ht="15.6" x14ac:dyDescent="0.3">
      <c r="A4110" s="18"/>
      <c r="B4110" s="24"/>
      <c r="C4110" s="15"/>
      <c r="D4110" s="16"/>
      <c r="E4110" s="16"/>
      <c r="F4110" s="16"/>
      <c r="G4110" s="16"/>
      <c r="H4110" s="16"/>
      <c r="I4110" s="16"/>
      <c r="J4110" s="16"/>
      <c r="K4110" s="16"/>
      <c r="L4110" s="16"/>
      <c r="M4110" s="16"/>
      <c r="N4110" s="16"/>
      <c r="O4110" s="16"/>
      <c r="P4110" s="16"/>
      <c r="Q4110" s="16"/>
      <c r="R4110" s="16"/>
      <c r="S4110" s="16"/>
      <c r="T4110" s="16"/>
      <c r="U4110" s="16"/>
      <c r="V4110" s="16"/>
      <c r="W4110" s="16"/>
      <c r="X4110" s="16"/>
      <c r="Y4110" s="16"/>
      <c r="Z4110" s="16"/>
    </row>
    <row r="4111" spans="1:26" ht="15.6" x14ac:dyDescent="0.3">
      <c r="A4111" s="18"/>
      <c r="B4111" s="24"/>
      <c r="C4111" s="15"/>
      <c r="D4111" s="16"/>
      <c r="E4111" s="16"/>
      <c r="F4111" s="16"/>
      <c r="G4111" s="16"/>
      <c r="H4111" s="16"/>
      <c r="I4111" s="16"/>
      <c r="J4111" s="16"/>
      <c r="K4111" s="16"/>
      <c r="L4111" s="16"/>
      <c r="M4111" s="16"/>
      <c r="N4111" s="16"/>
      <c r="O4111" s="16"/>
      <c r="P4111" s="16"/>
      <c r="Q4111" s="16"/>
      <c r="R4111" s="16"/>
      <c r="S4111" s="16"/>
      <c r="T4111" s="16"/>
      <c r="U4111" s="16"/>
      <c r="V4111" s="16"/>
      <c r="W4111" s="16"/>
      <c r="X4111" s="16"/>
      <c r="Y4111" s="16"/>
      <c r="Z4111" s="16"/>
    </row>
    <row r="4112" spans="1:26" ht="15.6" x14ac:dyDescent="0.3">
      <c r="A4112" s="18"/>
      <c r="B4112" s="24"/>
      <c r="C4112" s="15"/>
      <c r="D4112" s="16"/>
      <c r="E4112" s="16"/>
      <c r="F4112" s="16"/>
      <c r="G4112" s="16"/>
      <c r="H4112" s="16"/>
      <c r="I4112" s="16"/>
      <c r="J4112" s="16"/>
      <c r="K4112" s="16"/>
      <c r="L4112" s="16"/>
      <c r="M4112" s="16"/>
      <c r="N4112" s="16"/>
      <c r="O4112" s="16"/>
      <c r="P4112" s="16"/>
      <c r="Q4112" s="16"/>
      <c r="R4112" s="16"/>
      <c r="S4112" s="16"/>
      <c r="T4112" s="16"/>
      <c r="U4112" s="16"/>
      <c r="V4112" s="16"/>
      <c r="W4112" s="16"/>
      <c r="X4112" s="16"/>
      <c r="Y4112" s="16"/>
      <c r="Z4112" s="16"/>
    </row>
    <row r="4113" spans="1:26" ht="15.6" x14ac:dyDescent="0.3">
      <c r="A4113" s="18"/>
      <c r="B4113" s="24"/>
      <c r="C4113" s="15"/>
      <c r="D4113" s="16"/>
      <c r="E4113" s="16"/>
      <c r="F4113" s="16"/>
      <c r="G4113" s="16"/>
      <c r="H4113" s="16"/>
      <c r="I4113" s="16"/>
      <c r="J4113" s="16"/>
      <c r="K4113" s="16"/>
      <c r="L4113" s="16"/>
      <c r="M4113" s="16"/>
      <c r="N4113" s="16"/>
      <c r="O4113" s="16"/>
      <c r="P4113" s="16"/>
      <c r="Q4113" s="16"/>
      <c r="R4113" s="16"/>
      <c r="S4113" s="16"/>
      <c r="T4113" s="16"/>
      <c r="U4113" s="16"/>
      <c r="V4113" s="16"/>
      <c r="W4113" s="16"/>
      <c r="X4113" s="16"/>
      <c r="Y4113" s="16"/>
      <c r="Z4113" s="16"/>
    </row>
    <row r="4114" spans="1:26" ht="15.6" x14ac:dyDescent="0.3">
      <c r="A4114" s="18"/>
      <c r="B4114" s="24"/>
      <c r="C4114" s="15"/>
      <c r="D4114" s="16"/>
      <c r="E4114" s="16"/>
      <c r="F4114" s="16"/>
      <c r="G4114" s="16"/>
      <c r="H4114" s="16"/>
      <c r="I4114" s="16"/>
      <c r="J4114" s="16"/>
      <c r="K4114" s="16"/>
      <c r="L4114" s="16"/>
      <c r="M4114" s="16"/>
      <c r="N4114" s="16"/>
      <c r="O4114" s="16"/>
      <c r="P4114" s="16"/>
      <c r="Q4114" s="16"/>
      <c r="R4114" s="16"/>
      <c r="S4114" s="16"/>
      <c r="T4114" s="16"/>
      <c r="U4114" s="16"/>
      <c r="V4114" s="16"/>
      <c r="W4114" s="16"/>
      <c r="X4114" s="16"/>
      <c r="Y4114" s="16"/>
      <c r="Z4114" s="16"/>
    </row>
    <row r="4115" spans="1:26" ht="15.6" x14ac:dyDescent="0.3">
      <c r="A4115" s="18"/>
      <c r="B4115" s="24"/>
      <c r="C4115" s="15"/>
      <c r="D4115" s="16"/>
      <c r="E4115" s="16"/>
      <c r="F4115" s="16"/>
      <c r="G4115" s="16"/>
      <c r="H4115" s="16"/>
      <c r="I4115" s="16"/>
      <c r="J4115" s="16"/>
      <c r="K4115" s="16"/>
      <c r="L4115" s="16"/>
      <c r="M4115" s="16"/>
      <c r="N4115" s="16"/>
      <c r="O4115" s="16"/>
      <c r="P4115" s="16"/>
      <c r="Q4115" s="16"/>
      <c r="R4115" s="16"/>
      <c r="S4115" s="16"/>
      <c r="T4115" s="16"/>
      <c r="U4115" s="16"/>
      <c r="V4115" s="16"/>
      <c r="W4115" s="16"/>
      <c r="X4115" s="16"/>
      <c r="Y4115" s="16"/>
      <c r="Z4115" s="16"/>
    </row>
    <row r="4116" spans="1:26" ht="15.6" x14ac:dyDescent="0.3">
      <c r="A4116" s="18"/>
      <c r="B4116" s="24"/>
      <c r="C4116" s="15"/>
      <c r="D4116" s="16"/>
      <c r="E4116" s="16"/>
      <c r="F4116" s="16"/>
      <c r="G4116" s="16"/>
      <c r="H4116" s="16"/>
      <c r="I4116" s="16"/>
      <c r="J4116" s="16"/>
      <c r="K4116" s="16"/>
      <c r="L4116" s="16"/>
      <c r="M4116" s="16"/>
      <c r="N4116" s="16"/>
      <c r="O4116" s="16"/>
      <c r="P4116" s="16"/>
      <c r="Q4116" s="16"/>
      <c r="R4116" s="16"/>
      <c r="S4116" s="16"/>
      <c r="T4116" s="16"/>
      <c r="U4116" s="16"/>
      <c r="V4116" s="16"/>
      <c r="W4116" s="16"/>
      <c r="X4116" s="16"/>
      <c r="Y4116" s="16"/>
      <c r="Z4116" s="16"/>
    </row>
    <row r="4117" spans="1:26" ht="15.6" x14ac:dyDescent="0.3">
      <c r="A4117" s="18"/>
      <c r="B4117" s="24"/>
      <c r="C4117" s="15"/>
      <c r="D4117" s="16"/>
      <c r="E4117" s="16"/>
      <c r="F4117" s="16"/>
      <c r="G4117" s="16"/>
      <c r="H4117" s="16"/>
      <c r="I4117" s="16"/>
      <c r="J4117" s="16"/>
      <c r="K4117" s="16"/>
      <c r="L4117" s="16"/>
      <c r="M4117" s="16"/>
      <c r="N4117" s="16"/>
      <c r="O4117" s="16"/>
      <c r="P4117" s="16"/>
      <c r="Q4117" s="16"/>
      <c r="R4117" s="16"/>
      <c r="S4117" s="16"/>
      <c r="T4117" s="16"/>
      <c r="U4117" s="16"/>
      <c r="V4117" s="16"/>
      <c r="W4117" s="16"/>
      <c r="X4117" s="16"/>
      <c r="Y4117" s="16"/>
      <c r="Z4117" s="16"/>
    </row>
    <row r="4118" spans="1:26" ht="15.6" x14ac:dyDescent="0.3">
      <c r="A4118" s="18"/>
      <c r="B4118" s="24"/>
      <c r="C4118" s="15"/>
      <c r="D4118" s="16"/>
      <c r="E4118" s="16"/>
      <c r="F4118" s="16"/>
      <c r="G4118" s="16"/>
      <c r="H4118" s="16"/>
      <c r="I4118" s="16"/>
      <c r="J4118" s="16"/>
      <c r="K4118" s="16"/>
      <c r="L4118" s="16"/>
      <c r="M4118" s="16"/>
      <c r="N4118" s="16"/>
      <c r="O4118" s="16"/>
      <c r="P4118" s="16"/>
      <c r="Q4118" s="16"/>
      <c r="R4118" s="16"/>
      <c r="S4118" s="16"/>
      <c r="T4118" s="16"/>
      <c r="U4118" s="16"/>
      <c r="V4118" s="16"/>
      <c r="W4118" s="16"/>
      <c r="X4118" s="16"/>
      <c r="Y4118" s="16"/>
      <c r="Z4118" s="16"/>
    </row>
    <row r="4119" spans="1:26" ht="15.6" x14ac:dyDescent="0.3">
      <c r="A4119" s="18"/>
      <c r="B4119" s="24"/>
      <c r="C4119" s="15"/>
      <c r="D4119" s="16"/>
      <c r="E4119" s="16"/>
      <c r="F4119" s="16"/>
      <c r="G4119" s="16"/>
      <c r="H4119" s="16"/>
      <c r="I4119" s="16"/>
      <c r="J4119" s="16"/>
      <c r="K4119" s="16"/>
      <c r="L4119" s="16"/>
      <c r="M4119" s="16"/>
      <c r="N4119" s="16"/>
      <c r="O4119" s="16"/>
      <c r="P4119" s="16"/>
      <c r="Q4119" s="16"/>
      <c r="R4119" s="16"/>
      <c r="S4119" s="16"/>
      <c r="T4119" s="16"/>
      <c r="U4119" s="16"/>
      <c r="V4119" s="16"/>
      <c r="W4119" s="16"/>
      <c r="X4119" s="16"/>
      <c r="Y4119" s="16"/>
      <c r="Z4119" s="16"/>
    </row>
    <row r="4120" spans="1:26" ht="15.6" x14ac:dyDescent="0.3">
      <c r="A4120" s="18"/>
      <c r="B4120" s="24"/>
      <c r="C4120" s="15"/>
      <c r="D4120" s="16"/>
      <c r="E4120" s="16"/>
      <c r="F4120" s="16"/>
      <c r="G4120" s="16"/>
      <c r="H4120" s="16"/>
      <c r="I4120" s="16"/>
      <c r="J4120" s="16"/>
      <c r="K4120" s="16"/>
      <c r="L4120" s="16"/>
      <c r="M4120" s="16"/>
      <c r="N4120" s="16"/>
      <c r="O4120" s="16"/>
      <c r="P4120" s="16"/>
      <c r="Q4120" s="16"/>
      <c r="R4120" s="16"/>
      <c r="S4120" s="16"/>
      <c r="T4120" s="16"/>
      <c r="U4120" s="16"/>
      <c r="V4120" s="16"/>
      <c r="W4120" s="16"/>
      <c r="X4120" s="16"/>
      <c r="Y4120" s="16"/>
      <c r="Z4120" s="16"/>
    </row>
    <row r="4121" spans="1:26" ht="15.6" x14ac:dyDescent="0.3">
      <c r="A4121" s="18"/>
      <c r="B4121" s="24"/>
      <c r="C4121" s="15"/>
      <c r="D4121" s="16"/>
      <c r="E4121" s="16"/>
      <c r="F4121" s="16"/>
      <c r="G4121" s="16"/>
      <c r="H4121" s="16"/>
      <c r="I4121" s="16"/>
      <c r="J4121" s="16"/>
      <c r="K4121" s="16"/>
      <c r="L4121" s="16"/>
      <c r="M4121" s="16"/>
      <c r="N4121" s="16"/>
      <c r="O4121" s="16"/>
      <c r="P4121" s="16"/>
      <c r="Q4121" s="16"/>
      <c r="R4121" s="16"/>
      <c r="S4121" s="16"/>
      <c r="T4121" s="16"/>
      <c r="U4121" s="16"/>
      <c r="V4121" s="16"/>
      <c r="W4121" s="16"/>
      <c r="X4121" s="16"/>
      <c r="Y4121" s="16"/>
      <c r="Z4121" s="16"/>
    </row>
    <row r="4122" spans="1:26" ht="15.6" x14ac:dyDescent="0.3">
      <c r="A4122" s="18"/>
      <c r="B4122" s="24"/>
      <c r="C4122" s="15"/>
      <c r="D4122" s="16"/>
      <c r="E4122" s="16"/>
      <c r="F4122" s="16"/>
      <c r="G4122" s="16"/>
      <c r="H4122" s="16"/>
      <c r="I4122" s="16"/>
      <c r="J4122" s="16"/>
      <c r="K4122" s="16"/>
      <c r="L4122" s="16"/>
      <c r="M4122" s="16"/>
      <c r="N4122" s="16"/>
      <c r="O4122" s="16"/>
      <c r="P4122" s="16"/>
      <c r="Q4122" s="16"/>
      <c r="R4122" s="16"/>
      <c r="S4122" s="16"/>
      <c r="T4122" s="16"/>
      <c r="U4122" s="16"/>
      <c r="V4122" s="16"/>
      <c r="W4122" s="16"/>
      <c r="X4122" s="16"/>
      <c r="Y4122" s="16"/>
      <c r="Z4122" s="16"/>
    </row>
    <row r="4123" spans="1:26" ht="15.6" x14ac:dyDescent="0.3">
      <c r="A4123" s="18"/>
      <c r="B4123" s="24"/>
      <c r="C4123" s="15"/>
      <c r="D4123" s="16"/>
      <c r="E4123" s="16"/>
      <c r="F4123" s="16"/>
      <c r="G4123" s="16"/>
      <c r="H4123" s="16"/>
      <c r="I4123" s="16"/>
      <c r="J4123" s="16"/>
      <c r="K4123" s="16"/>
      <c r="L4123" s="16"/>
      <c r="M4123" s="16"/>
      <c r="N4123" s="16"/>
      <c r="O4123" s="16"/>
      <c r="P4123" s="16"/>
      <c r="Q4123" s="16"/>
      <c r="R4123" s="16"/>
      <c r="S4123" s="16"/>
      <c r="T4123" s="16"/>
      <c r="U4123" s="16"/>
      <c r="V4123" s="16"/>
      <c r="W4123" s="16"/>
      <c r="X4123" s="16"/>
      <c r="Y4123" s="16"/>
      <c r="Z4123" s="16"/>
    </row>
    <row r="4124" spans="1:26" ht="15.6" x14ac:dyDescent="0.3">
      <c r="A4124" s="18"/>
      <c r="B4124" s="24"/>
      <c r="C4124" s="15"/>
      <c r="D4124" s="16"/>
      <c r="E4124" s="16"/>
      <c r="F4124" s="16"/>
      <c r="G4124" s="16"/>
      <c r="H4124" s="16"/>
      <c r="I4124" s="16"/>
      <c r="J4124" s="16"/>
      <c r="K4124" s="16"/>
      <c r="L4124" s="16"/>
      <c r="M4124" s="16"/>
      <c r="N4124" s="16"/>
      <c r="O4124" s="16"/>
      <c r="P4124" s="16"/>
      <c r="Q4124" s="16"/>
      <c r="R4124" s="16"/>
      <c r="S4124" s="16"/>
      <c r="T4124" s="16"/>
      <c r="U4124" s="16"/>
      <c r="V4124" s="16"/>
      <c r="W4124" s="16"/>
      <c r="X4124" s="16"/>
      <c r="Y4124" s="16"/>
      <c r="Z4124" s="16"/>
    </row>
    <row r="4125" spans="1:26" ht="15.6" x14ac:dyDescent="0.3">
      <c r="A4125" s="18"/>
      <c r="B4125" s="24"/>
      <c r="C4125" s="15"/>
      <c r="D4125" s="16"/>
      <c r="E4125" s="16"/>
      <c r="F4125" s="16"/>
      <c r="G4125" s="16"/>
      <c r="H4125" s="16"/>
      <c r="I4125" s="16"/>
      <c r="J4125" s="16"/>
      <c r="K4125" s="16"/>
      <c r="L4125" s="16"/>
      <c r="M4125" s="16"/>
      <c r="N4125" s="16"/>
      <c r="O4125" s="16"/>
      <c r="P4125" s="16"/>
      <c r="Q4125" s="16"/>
      <c r="R4125" s="16"/>
      <c r="S4125" s="16"/>
      <c r="T4125" s="16"/>
      <c r="U4125" s="16"/>
      <c r="V4125" s="16"/>
      <c r="W4125" s="16"/>
      <c r="X4125" s="16"/>
      <c r="Y4125" s="16"/>
      <c r="Z4125" s="16"/>
    </row>
    <row r="4126" spans="1:26" ht="15.6" x14ac:dyDescent="0.3">
      <c r="A4126" s="18"/>
      <c r="B4126" s="24"/>
      <c r="C4126" s="15"/>
      <c r="D4126" s="16"/>
      <c r="E4126" s="16"/>
      <c r="F4126" s="16"/>
      <c r="G4126" s="16"/>
      <c r="H4126" s="16"/>
      <c r="I4126" s="16"/>
      <c r="J4126" s="16"/>
      <c r="K4126" s="16"/>
      <c r="L4126" s="16"/>
      <c r="M4126" s="16"/>
      <c r="N4126" s="16"/>
      <c r="O4126" s="16"/>
      <c r="P4126" s="16"/>
      <c r="Q4126" s="16"/>
      <c r="R4126" s="16"/>
      <c r="S4126" s="16"/>
      <c r="T4126" s="16"/>
      <c r="U4126" s="16"/>
      <c r="V4126" s="16"/>
      <c r="W4126" s="16"/>
      <c r="X4126" s="16"/>
      <c r="Y4126" s="16"/>
      <c r="Z4126" s="16"/>
    </row>
    <row r="4127" spans="1:26" ht="15.6" x14ac:dyDescent="0.3">
      <c r="A4127" s="18"/>
      <c r="B4127" s="24"/>
      <c r="C4127" s="15"/>
      <c r="D4127" s="16"/>
      <c r="E4127" s="16"/>
      <c r="F4127" s="16"/>
      <c r="G4127" s="16"/>
      <c r="H4127" s="16"/>
      <c r="I4127" s="16"/>
      <c r="J4127" s="16"/>
      <c r="K4127" s="16"/>
      <c r="L4127" s="16"/>
      <c r="M4127" s="16"/>
      <c r="N4127" s="16"/>
      <c r="O4127" s="16"/>
      <c r="P4127" s="16"/>
      <c r="Q4127" s="16"/>
      <c r="R4127" s="16"/>
      <c r="S4127" s="16"/>
      <c r="T4127" s="16"/>
      <c r="U4127" s="16"/>
      <c r="V4127" s="16"/>
      <c r="W4127" s="16"/>
      <c r="X4127" s="16"/>
      <c r="Y4127" s="16"/>
      <c r="Z4127" s="16"/>
    </row>
    <row r="4128" spans="1:26" ht="15.6" x14ac:dyDescent="0.3">
      <c r="A4128" s="18"/>
      <c r="B4128" s="24"/>
      <c r="C4128" s="15"/>
      <c r="D4128" s="16"/>
      <c r="E4128" s="16"/>
      <c r="F4128" s="16"/>
      <c r="G4128" s="16"/>
      <c r="H4128" s="16"/>
      <c r="I4128" s="16"/>
      <c r="J4128" s="16"/>
      <c r="K4128" s="16"/>
      <c r="L4128" s="16"/>
      <c r="M4128" s="16"/>
      <c r="N4128" s="16"/>
      <c r="O4128" s="16"/>
      <c r="P4128" s="16"/>
      <c r="Q4128" s="16"/>
      <c r="R4128" s="16"/>
      <c r="S4128" s="16"/>
      <c r="T4128" s="16"/>
      <c r="U4128" s="16"/>
      <c r="V4128" s="16"/>
      <c r="W4128" s="16"/>
      <c r="X4128" s="16"/>
      <c r="Y4128" s="16"/>
      <c r="Z4128" s="16"/>
    </row>
    <row r="4129" spans="1:26" ht="15.6" x14ac:dyDescent="0.3">
      <c r="A4129" s="18"/>
      <c r="B4129" s="24"/>
      <c r="C4129" s="15"/>
      <c r="D4129" s="16"/>
      <c r="E4129" s="16"/>
      <c r="F4129" s="16"/>
      <c r="G4129" s="16"/>
      <c r="H4129" s="16"/>
      <c r="I4129" s="16"/>
      <c r="J4129" s="16"/>
      <c r="K4129" s="16"/>
      <c r="L4129" s="16"/>
      <c r="M4129" s="16"/>
      <c r="N4129" s="16"/>
      <c r="O4129" s="16"/>
      <c r="P4129" s="16"/>
      <c r="Q4129" s="16"/>
      <c r="R4129" s="16"/>
      <c r="S4129" s="16"/>
      <c r="T4129" s="16"/>
      <c r="U4129" s="16"/>
      <c r="V4129" s="16"/>
      <c r="W4129" s="16"/>
      <c r="X4129" s="16"/>
      <c r="Y4129" s="16"/>
      <c r="Z4129" s="16"/>
    </row>
    <row r="4130" spans="1:26" ht="15.6" x14ac:dyDescent="0.3">
      <c r="A4130" s="18"/>
      <c r="B4130" s="24"/>
      <c r="C4130" s="15"/>
      <c r="D4130" s="16"/>
      <c r="E4130" s="16"/>
      <c r="F4130" s="16"/>
      <c r="G4130" s="16"/>
      <c r="H4130" s="16"/>
      <c r="I4130" s="16"/>
      <c r="J4130" s="16"/>
      <c r="K4130" s="16"/>
      <c r="L4130" s="16"/>
      <c r="M4130" s="16"/>
      <c r="N4130" s="16"/>
      <c r="O4130" s="16"/>
      <c r="P4130" s="16"/>
      <c r="Q4130" s="16"/>
      <c r="R4130" s="16"/>
      <c r="S4130" s="16"/>
      <c r="T4130" s="16"/>
      <c r="U4130" s="16"/>
      <c r="V4130" s="16"/>
      <c r="W4130" s="16"/>
      <c r="X4130" s="16"/>
      <c r="Y4130" s="16"/>
      <c r="Z4130" s="16"/>
    </row>
    <row r="4131" spans="1:26" ht="15.6" x14ac:dyDescent="0.3">
      <c r="A4131" s="18"/>
      <c r="B4131" s="24"/>
      <c r="C4131" s="15"/>
      <c r="D4131" s="16"/>
      <c r="E4131" s="16"/>
      <c r="F4131" s="16"/>
      <c r="G4131" s="16"/>
      <c r="H4131" s="16"/>
      <c r="I4131" s="16"/>
      <c r="J4131" s="16"/>
      <c r="K4131" s="16"/>
      <c r="L4131" s="16"/>
      <c r="M4131" s="16"/>
      <c r="N4131" s="16"/>
      <c r="O4131" s="16"/>
      <c r="P4131" s="16"/>
      <c r="Q4131" s="16"/>
      <c r="R4131" s="16"/>
      <c r="S4131" s="16"/>
      <c r="T4131" s="16"/>
      <c r="U4131" s="16"/>
      <c r="V4131" s="16"/>
      <c r="W4131" s="16"/>
      <c r="X4131" s="16"/>
      <c r="Y4131" s="16"/>
      <c r="Z4131" s="16"/>
    </row>
    <row r="4132" spans="1:26" ht="15.6" x14ac:dyDescent="0.3">
      <c r="A4132" s="18"/>
      <c r="B4132" s="24"/>
      <c r="C4132" s="15"/>
      <c r="D4132" s="16"/>
      <c r="E4132" s="16"/>
      <c r="F4132" s="16"/>
      <c r="G4132" s="16"/>
      <c r="H4132" s="16"/>
      <c r="I4132" s="16"/>
      <c r="J4132" s="16"/>
      <c r="K4132" s="16"/>
      <c r="L4132" s="16"/>
      <c r="M4132" s="16"/>
      <c r="N4132" s="16"/>
      <c r="O4132" s="16"/>
      <c r="P4132" s="16"/>
      <c r="Q4132" s="16"/>
      <c r="R4132" s="16"/>
      <c r="S4132" s="16"/>
      <c r="T4132" s="16"/>
      <c r="U4132" s="16"/>
      <c r="V4132" s="16"/>
      <c r="W4132" s="16"/>
      <c r="X4132" s="16"/>
      <c r="Y4132" s="16"/>
      <c r="Z4132" s="16"/>
    </row>
    <row r="4133" spans="1:26" ht="15.6" x14ac:dyDescent="0.3">
      <c r="A4133" s="18"/>
      <c r="B4133" s="24"/>
      <c r="C4133" s="15"/>
      <c r="D4133" s="16"/>
      <c r="E4133" s="16"/>
      <c r="F4133" s="16"/>
      <c r="G4133" s="16"/>
      <c r="H4133" s="16"/>
      <c r="I4133" s="16"/>
      <c r="J4133" s="16"/>
      <c r="K4133" s="16"/>
      <c r="L4133" s="16"/>
      <c r="M4133" s="16"/>
      <c r="N4133" s="16"/>
      <c r="O4133" s="16"/>
      <c r="P4133" s="16"/>
      <c r="Q4133" s="16"/>
      <c r="R4133" s="16"/>
      <c r="S4133" s="16"/>
      <c r="T4133" s="16"/>
      <c r="U4133" s="16"/>
      <c r="V4133" s="16"/>
      <c r="W4133" s="16"/>
      <c r="X4133" s="16"/>
      <c r="Y4133" s="16"/>
      <c r="Z4133" s="16"/>
    </row>
    <row r="4134" spans="1:26" ht="15.6" x14ac:dyDescent="0.3">
      <c r="A4134" s="18"/>
      <c r="B4134" s="24"/>
      <c r="C4134" s="15"/>
      <c r="D4134" s="16"/>
      <c r="E4134" s="16"/>
      <c r="F4134" s="16"/>
      <c r="G4134" s="16"/>
      <c r="H4134" s="16"/>
      <c r="I4134" s="16"/>
      <c r="J4134" s="16"/>
      <c r="K4134" s="16"/>
      <c r="L4134" s="16"/>
      <c r="M4134" s="16"/>
      <c r="N4134" s="16"/>
      <c r="O4134" s="16"/>
      <c r="P4134" s="16"/>
      <c r="Q4134" s="16"/>
      <c r="R4134" s="16"/>
      <c r="S4134" s="16"/>
      <c r="T4134" s="16"/>
      <c r="U4134" s="16"/>
      <c r="V4134" s="16"/>
      <c r="W4134" s="16"/>
      <c r="X4134" s="16"/>
      <c r="Y4134" s="16"/>
      <c r="Z4134" s="16"/>
    </row>
    <row r="4135" spans="1:26" ht="15.6" x14ac:dyDescent="0.3">
      <c r="A4135" s="18"/>
      <c r="B4135" s="24"/>
      <c r="C4135" s="15"/>
      <c r="D4135" s="16"/>
      <c r="E4135" s="16"/>
      <c r="F4135" s="16"/>
      <c r="G4135" s="16"/>
      <c r="H4135" s="16"/>
      <c r="I4135" s="16"/>
      <c r="J4135" s="16"/>
      <c r="K4135" s="16"/>
      <c r="L4135" s="16"/>
      <c r="M4135" s="16"/>
      <c r="N4135" s="16"/>
      <c r="O4135" s="16"/>
      <c r="P4135" s="16"/>
      <c r="Q4135" s="16"/>
      <c r="R4135" s="16"/>
      <c r="S4135" s="16"/>
      <c r="T4135" s="16"/>
      <c r="U4135" s="16"/>
      <c r="V4135" s="16"/>
      <c r="W4135" s="16"/>
      <c r="X4135" s="16"/>
      <c r="Y4135" s="16"/>
      <c r="Z4135" s="16"/>
    </row>
    <row r="4136" spans="1:26" ht="15.6" x14ac:dyDescent="0.3">
      <c r="A4136" s="18"/>
      <c r="B4136" s="24"/>
      <c r="C4136" s="15"/>
      <c r="D4136" s="16"/>
      <c r="E4136" s="16"/>
      <c r="F4136" s="16"/>
      <c r="G4136" s="16"/>
      <c r="H4136" s="16"/>
      <c r="I4136" s="16"/>
      <c r="J4136" s="16"/>
      <c r="K4136" s="16"/>
      <c r="L4136" s="16"/>
      <c r="M4136" s="16"/>
      <c r="N4136" s="16"/>
      <c r="O4136" s="16"/>
      <c r="P4136" s="16"/>
      <c r="Q4136" s="16"/>
      <c r="R4136" s="16"/>
      <c r="S4136" s="16"/>
      <c r="T4136" s="16"/>
      <c r="U4136" s="16"/>
      <c r="V4136" s="16"/>
      <c r="W4136" s="16"/>
      <c r="X4136" s="16"/>
      <c r="Y4136" s="16"/>
      <c r="Z4136" s="16"/>
    </row>
    <row r="4137" spans="1:26" ht="15.6" x14ac:dyDescent="0.3">
      <c r="A4137" s="18"/>
      <c r="B4137" s="24"/>
      <c r="C4137" s="15"/>
      <c r="D4137" s="16"/>
      <c r="E4137" s="16"/>
      <c r="F4137" s="16"/>
      <c r="G4137" s="16"/>
      <c r="H4137" s="16"/>
      <c r="I4137" s="16"/>
      <c r="J4137" s="16"/>
      <c r="K4137" s="16"/>
      <c r="L4137" s="16"/>
      <c r="M4137" s="16"/>
      <c r="N4137" s="16"/>
      <c r="O4137" s="16"/>
      <c r="P4137" s="16"/>
      <c r="Q4137" s="16"/>
      <c r="R4137" s="16"/>
      <c r="S4137" s="16"/>
      <c r="T4137" s="16"/>
      <c r="U4137" s="16"/>
      <c r="V4137" s="16"/>
      <c r="W4137" s="16"/>
      <c r="X4137" s="16"/>
      <c r="Y4137" s="16"/>
      <c r="Z4137" s="16"/>
    </row>
    <row r="4138" spans="1:26" ht="15.6" x14ac:dyDescent="0.3">
      <c r="A4138" s="18"/>
      <c r="B4138" s="24"/>
      <c r="C4138" s="15"/>
      <c r="D4138" s="16"/>
      <c r="E4138" s="16"/>
      <c r="F4138" s="16"/>
      <c r="G4138" s="16"/>
      <c r="H4138" s="16"/>
      <c r="I4138" s="16"/>
      <c r="J4138" s="16"/>
      <c r="K4138" s="16"/>
      <c r="L4138" s="16"/>
      <c r="M4138" s="16"/>
      <c r="N4138" s="16"/>
      <c r="O4138" s="16"/>
      <c r="P4138" s="16"/>
      <c r="Q4138" s="16"/>
      <c r="R4138" s="16"/>
      <c r="S4138" s="16"/>
      <c r="T4138" s="16"/>
      <c r="U4138" s="16"/>
      <c r="V4138" s="16"/>
      <c r="W4138" s="16"/>
      <c r="X4138" s="16"/>
      <c r="Y4138" s="16"/>
      <c r="Z4138" s="16"/>
    </row>
    <row r="4139" spans="1:26" ht="15.6" x14ac:dyDescent="0.3">
      <c r="A4139" s="18"/>
      <c r="B4139" s="24"/>
      <c r="C4139" s="15"/>
      <c r="D4139" s="16"/>
      <c r="E4139" s="16"/>
      <c r="F4139" s="16"/>
      <c r="G4139" s="16"/>
      <c r="H4139" s="16"/>
      <c r="I4139" s="16"/>
      <c r="J4139" s="16"/>
      <c r="K4139" s="16"/>
      <c r="L4139" s="16"/>
      <c r="M4139" s="16"/>
      <c r="N4139" s="16"/>
      <c r="O4139" s="16"/>
      <c r="P4139" s="16"/>
      <c r="Q4139" s="16"/>
      <c r="R4139" s="16"/>
      <c r="S4139" s="16"/>
      <c r="T4139" s="16"/>
      <c r="U4139" s="16"/>
      <c r="V4139" s="16"/>
      <c r="W4139" s="16"/>
      <c r="X4139" s="16"/>
      <c r="Y4139" s="16"/>
      <c r="Z4139" s="16"/>
    </row>
    <row r="4140" spans="1:26" ht="15.6" x14ac:dyDescent="0.3">
      <c r="A4140" s="18"/>
      <c r="B4140" s="24"/>
      <c r="C4140" s="15"/>
      <c r="D4140" s="16"/>
      <c r="E4140" s="16"/>
      <c r="F4140" s="16"/>
      <c r="G4140" s="16"/>
      <c r="H4140" s="16"/>
      <c r="I4140" s="16"/>
      <c r="J4140" s="16"/>
      <c r="K4140" s="16"/>
      <c r="L4140" s="16"/>
      <c r="M4140" s="16"/>
      <c r="N4140" s="16"/>
      <c r="O4140" s="16"/>
      <c r="P4140" s="16"/>
      <c r="Q4140" s="16"/>
      <c r="R4140" s="16"/>
      <c r="S4140" s="16"/>
      <c r="T4140" s="16"/>
      <c r="U4140" s="16"/>
      <c r="V4140" s="16"/>
      <c r="W4140" s="16"/>
      <c r="X4140" s="16"/>
      <c r="Y4140" s="16"/>
      <c r="Z4140" s="16"/>
    </row>
    <row r="4141" spans="1:26" ht="15.6" x14ac:dyDescent="0.3">
      <c r="A4141" s="18"/>
      <c r="B4141" s="24"/>
      <c r="C4141" s="15"/>
      <c r="D4141" s="16"/>
      <c r="E4141" s="16"/>
      <c r="F4141" s="16"/>
      <c r="G4141" s="16"/>
      <c r="H4141" s="16"/>
      <c r="I4141" s="16"/>
      <c r="J4141" s="16"/>
      <c r="K4141" s="16"/>
      <c r="L4141" s="16"/>
      <c r="M4141" s="16"/>
      <c r="N4141" s="16"/>
      <c r="O4141" s="16"/>
      <c r="P4141" s="16"/>
      <c r="Q4141" s="16"/>
      <c r="R4141" s="16"/>
      <c r="S4141" s="16"/>
      <c r="T4141" s="16"/>
      <c r="U4141" s="16"/>
      <c r="V4141" s="16"/>
      <c r="W4141" s="16"/>
      <c r="X4141" s="16"/>
      <c r="Y4141" s="16"/>
      <c r="Z4141" s="16"/>
    </row>
    <row r="4142" spans="1:26" ht="15.6" x14ac:dyDescent="0.3">
      <c r="A4142" s="18"/>
      <c r="B4142" s="24"/>
      <c r="C4142" s="15"/>
      <c r="D4142" s="16"/>
      <c r="E4142" s="16"/>
      <c r="F4142" s="16"/>
      <c r="G4142" s="16"/>
      <c r="H4142" s="16"/>
      <c r="I4142" s="16"/>
      <c r="J4142" s="16"/>
      <c r="K4142" s="16"/>
      <c r="L4142" s="16"/>
      <c r="M4142" s="16"/>
      <c r="N4142" s="16"/>
      <c r="O4142" s="16"/>
      <c r="P4142" s="16"/>
      <c r="Q4142" s="16"/>
      <c r="R4142" s="16"/>
      <c r="S4142" s="16"/>
      <c r="T4142" s="16"/>
      <c r="U4142" s="16"/>
      <c r="V4142" s="16"/>
      <c r="W4142" s="16"/>
      <c r="X4142" s="16"/>
      <c r="Y4142" s="16"/>
      <c r="Z4142" s="16"/>
    </row>
    <row r="4143" spans="1:26" ht="15.6" x14ac:dyDescent="0.3">
      <c r="A4143" s="18"/>
      <c r="B4143" s="24"/>
      <c r="C4143" s="15"/>
      <c r="D4143" s="16"/>
      <c r="E4143" s="16"/>
      <c r="F4143" s="16"/>
      <c r="G4143" s="16"/>
      <c r="H4143" s="16"/>
      <c r="I4143" s="16"/>
      <c r="J4143" s="16"/>
      <c r="K4143" s="16"/>
      <c r="L4143" s="16"/>
      <c r="M4143" s="16"/>
      <c r="N4143" s="16"/>
      <c r="O4143" s="16"/>
      <c r="P4143" s="16"/>
      <c r="Q4143" s="16"/>
      <c r="R4143" s="16"/>
      <c r="S4143" s="16"/>
      <c r="T4143" s="16"/>
      <c r="U4143" s="16"/>
      <c r="V4143" s="16"/>
      <c r="W4143" s="16"/>
      <c r="X4143" s="16"/>
      <c r="Y4143" s="16"/>
      <c r="Z4143" s="16"/>
    </row>
    <row r="4144" spans="1:26" ht="15.6" x14ac:dyDescent="0.3">
      <c r="A4144" s="18"/>
      <c r="B4144" s="24"/>
      <c r="C4144" s="15"/>
      <c r="D4144" s="16"/>
      <c r="E4144" s="16"/>
      <c r="F4144" s="16"/>
      <c r="G4144" s="16"/>
      <c r="H4144" s="16"/>
      <c r="I4144" s="16"/>
      <c r="J4144" s="16"/>
      <c r="K4144" s="16"/>
      <c r="L4144" s="16"/>
      <c r="M4144" s="16"/>
      <c r="N4144" s="16"/>
      <c r="O4144" s="16"/>
      <c r="P4144" s="16"/>
      <c r="Q4144" s="16"/>
      <c r="R4144" s="16"/>
      <c r="S4144" s="16"/>
      <c r="T4144" s="16"/>
      <c r="U4144" s="16"/>
      <c r="V4144" s="16"/>
      <c r="W4144" s="16"/>
      <c r="X4144" s="16"/>
      <c r="Y4144" s="16"/>
      <c r="Z4144" s="16"/>
    </row>
    <row r="4145" spans="1:26" ht="15.6" x14ac:dyDescent="0.3">
      <c r="A4145" s="18"/>
      <c r="B4145" s="24"/>
      <c r="C4145" s="15"/>
      <c r="D4145" s="16"/>
      <c r="E4145" s="16"/>
      <c r="F4145" s="16"/>
      <c r="G4145" s="16"/>
      <c r="H4145" s="16"/>
      <c r="I4145" s="16"/>
      <c r="J4145" s="16"/>
      <c r="K4145" s="16"/>
      <c r="L4145" s="16"/>
      <c r="M4145" s="16"/>
      <c r="N4145" s="16"/>
      <c r="O4145" s="16"/>
      <c r="P4145" s="16"/>
      <c r="Q4145" s="16"/>
      <c r="R4145" s="16"/>
      <c r="S4145" s="16"/>
      <c r="T4145" s="16"/>
      <c r="U4145" s="16"/>
      <c r="V4145" s="16"/>
      <c r="W4145" s="16"/>
      <c r="X4145" s="16"/>
      <c r="Y4145" s="16"/>
      <c r="Z4145" s="16"/>
    </row>
    <row r="4146" spans="1:26" ht="15.6" x14ac:dyDescent="0.3">
      <c r="A4146" s="18"/>
      <c r="B4146" s="24"/>
      <c r="C4146" s="15"/>
      <c r="D4146" s="16"/>
      <c r="E4146" s="16"/>
      <c r="F4146" s="16"/>
      <c r="G4146" s="16"/>
      <c r="H4146" s="16"/>
      <c r="I4146" s="16"/>
      <c r="J4146" s="16"/>
      <c r="K4146" s="16"/>
      <c r="L4146" s="16"/>
      <c r="M4146" s="16"/>
      <c r="N4146" s="16"/>
      <c r="O4146" s="16"/>
      <c r="P4146" s="16"/>
      <c r="Q4146" s="16"/>
      <c r="R4146" s="16"/>
      <c r="S4146" s="16"/>
      <c r="T4146" s="16"/>
      <c r="U4146" s="16"/>
      <c r="V4146" s="16"/>
      <c r="W4146" s="16"/>
      <c r="X4146" s="16"/>
      <c r="Y4146" s="16"/>
      <c r="Z4146" s="16"/>
    </row>
    <row r="4147" spans="1:26" ht="15.6" x14ac:dyDescent="0.3">
      <c r="A4147" s="18"/>
      <c r="B4147" s="24"/>
      <c r="C4147" s="15"/>
      <c r="D4147" s="16"/>
      <c r="E4147" s="16"/>
      <c r="F4147" s="16"/>
      <c r="G4147" s="16"/>
      <c r="H4147" s="16"/>
      <c r="I4147" s="16"/>
      <c r="J4147" s="16"/>
      <c r="K4147" s="16"/>
      <c r="L4147" s="16"/>
      <c r="M4147" s="16"/>
      <c r="N4147" s="16"/>
      <c r="O4147" s="16"/>
      <c r="P4147" s="16"/>
      <c r="Q4147" s="16"/>
      <c r="R4147" s="16"/>
      <c r="S4147" s="16"/>
      <c r="T4147" s="16"/>
      <c r="U4147" s="16"/>
      <c r="V4147" s="16"/>
      <c r="W4147" s="16"/>
      <c r="X4147" s="16"/>
      <c r="Y4147" s="16"/>
      <c r="Z4147" s="16"/>
    </row>
    <row r="4148" spans="1:26" ht="15.6" x14ac:dyDescent="0.3">
      <c r="A4148" s="18"/>
      <c r="B4148" s="24"/>
      <c r="C4148" s="15"/>
      <c r="D4148" s="16"/>
      <c r="E4148" s="16"/>
      <c r="F4148" s="16"/>
      <c r="G4148" s="16"/>
      <c r="H4148" s="16"/>
      <c r="I4148" s="16"/>
      <c r="J4148" s="16"/>
      <c r="K4148" s="16"/>
      <c r="L4148" s="16"/>
      <c r="M4148" s="16"/>
      <c r="N4148" s="16"/>
      <c r="O4148" s="16"/>
      <c r="P4148" s="16"/>
      <c r="Q4148" s="16"/>
      <c r="R4148" s="16"/>
      <c r="S4148" s="16"/>
      <c r="T4148" s="16"/>
      <c r="U4148" s="16"/>
      <c r="V4148" s="16"/>
      <c r="W4148" s="16"/>
      <c r="X4148" s="16"/>
      <c r="Y4148" s="16"/>
      <c r="Z4148" s="16"/>
    </row>
    <row r="4149" spans="1:26" ht="15.6" x14ac:dyDescent="0.3">
      <c r="A4149" s="18"/>
      <c r="B4149" s="24"/>
      <c r="C4149" s="15"/>
      <c r="D4149" s="16"/>
      <c r="E4149" s="16"/>
      <c r="F4149" s="16"/>
      <c r="G4149" s="16"/>
      <c r="H4149" s="16"/>
      <c r="I4149" s="16"/>
      <c r="J4149" s="16"/>
      <c r="K4149" s="16"/>
      <c r="L4149" s="16"/>
      <c r="M4149" s="16"/>
      <c r="N4149" s="16"/>
      <c r="O4149" s="16"/>
      <c r="P4149" s="16"/>
      <c r="Q4149" s="16"/>
      <c r="R4149" s="16"/>
      <c r="S4149" s="16"/>
      <c r="T4149" s="16"/>
      <c r="U4149" s="16"/>
      <c r="V4149" s="16"/>
      <c r="W4149" s="16"/>
      <c r="X4149" s="16"/>
      <c r="Y4149" s="16"/>
      <c r="Z4149" s="16"/>
    </row>
    <row r="4150" spans="1:26" ht="15.6" x14ac:dyDescent="0.3">
      <c r="A4150" s="18"/>
      <c r="B4150" s="24"/>
      <c r="C4150" s="15"/>
      <c r="D4150" s="16"/>
      <c r="E4150" s="16"/>
      <c r="F4150" s="16"/>
      <c r="G4150" s="16"/>
      <c r="H4150" s="16"/>
      <c r="I4150" s="16"/>
      <c r="J4150" s="16"/>
      <c r="K4150" s="16"/>
      <c r="L4150" s="16"/>
      <c r="M4150" s="16"/>
      <c r="N4150" s="16"/>
      <c r="O4150" s="16"/>
      <c r="P4150" s="16"/>
      <c r="Q4150" s="16"/>
      <c r="R4150" s="16"/>
      <c r="S4150" s="16"/>
      <c r="T4150" s="16"/>
      <c r="U4150" s="16"/>
      <c r="V4150" s="16"/>
      <c r="W4150" s="16"/>
      <c r="X4150" s="16"/>
      <c r="Y4150" s="16"/>
      <c r="Z4150" s="16"/>
    </row>
    <row r="4151" spans="1:26" ht="15.6" x14ac:dyDescent="0.3">
      <c r="A4151" s="18"/>
      <c r="B4151" s="24"/>
      <c r="C4151" s="15"/>
      <c r="D4151" s="16"/>
      <c r="E4151" s="16"/>
      <c r="F4151" s="16"/>
      <c r="G4151" s="16"/>
      <c r="H4151" s="16"/>
      <c r="I4151" s="16"/>
      <c r="J4151" s="16"/>
      <c r="K4151" s="16"/>
      <c r="L4151" s="16"/>
      <c r="M4151" s="16"/>
      <c r="N4151" s="16"/>
      <c r="O4151" s="16"/>
      <c r="P4151" s="16"/>
      <c r="Q4151" s="16"/>
      <c r="R4151" s="16"/>
      <c r="S4151" s="16"/>
      <c r="T4151" s="16"/>
      <c r="U4151" s="16"/>
      <c r="V4151" s="16"/>
      <c r="W4151" s="16"/>
      <c r="X4151" s="16"/>
      <c r="Y4151" s="16"/>
      <c r="Z4151" s="1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2025-05-25T12:48:40Z</dcterms:modified>
</cp:coreProperties>
</file>